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harts/chart2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6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7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8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2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ranuch\Desktop\"/>
    </mc:Choice>
  </mc:AlternateContent>
  <xr:revisionPtr revIDLastSave="0" documentId="8_{54AE0CE5-DFB4-4FC3-88A7-13DE8F724BA7}" xr6:coauthVersionLast="47" xr6:coauthVersionMax="47" xr10:uidLastSave="{00000000-0000-0000-0000-000000000000}"/>
  <bookViews>
    <workbookView xWindow="28680" yWindow="-120" windowWidth="29040" windowHeight="15720" activeTab="2" xr2:uid="{EE8F20CD-317B-4EAC-B7CC-2A2D30D7072C}"/>
  </bookViews>
  <sheets>
    <sheet name="RIHES" sheetId="1" r:id="rId1"/>
    <sheet name="IDSU" sheetId="9" r:id="rId2"/>
    <sheet name="CMBID" sheetId="10" r:id="rId3"/>
    <sheet name="NINE" sheetId="11" r:id="rId4"/>
    <sheet name="เป้าหมาย" sheetId="4" state="hidden" r:id="rId5"/>
    <sheet name="นักวิจัย" sheetId="2" state="hidden" r:id="rId6"/>
    <sheet name="ผลงานตีพิมพ์" sheetId="3" state="hidden" r:id="rId7"/>
    <sheet name="ทุนวิจัย" sheetId="6" state="hidden" r:id="rId8"/>
    <sheet name="รายได้" sheetId="5" state="hidden" r:id="rId9"/>
    <sheet name="Sheet7" sheetId="7" state="hidden" r:id="rId10"/>
    <sheet name="Sheet8" sheetId="8" state="hidden" r:id="rId11"/>
  </sheets>
  <calcPr calcId="191029"/>
  <pivotCaches>
    <pivotCache cacheId="0" r:id="rId12"/>
    <pivotCache cacheId="1" r:id="rId13"/>
    <pivotCache cacheId="2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1" l="1"/>
  <c r="E18" i="10"/>
  <c r="E18" i="9"/>
  <c r="E53" i="3"/>
  <c r="E54" i="3"/>
  <c r="E52" i="3"/>
  <c r="C53" i="3"/>
  <c r="C54" i="3"/>
  <c r="C52" i="3"/>
  <c r="G23" i="11"/>
  <c r="U3" i="11"/>
  <c r="Q5" i="11"/>
  <c r="Q3" i="11"/>
  <c r="M3" i="11"/>
  <c r="I3" i="11"/>
  <c r="E8" i="11"/>
  <c r="E10" i="11" s="1"/>
  <c r="E3" i="11"/>
  <c r="W3" i="11"/>
  <c r="S3" i="11"/>
  <c r="O3" i="11"/>
  <c r="K3" i="11"/>
  <c r="G8" i="11"/>
  <c r="G3" i="11"/>
  <c r="G18" i="11"/>
  <c r="G13" i="11"/>
  <c r="U3" i="10"/>
  <c r="W3" i="10"/>
  <c r="S3" i="10"/>
  <c r="O3" i="10"/>
  <c r="K3" i="10"/>
  <c r="E25" i="10"/>
  <c r="G23" i="10"/>
  <c r="E8" i="10"/>
  <c r="E3" i="10"/>
  <c r="E5" i="10" s="1"/>
  <c r="G8" i="10"/>
  <c r="E10" i="10" s="1"/>
  <c r="G3" i="10"/>
  <c r="G18" i="10"/>
  <c r="G13" i="10"/>
  <c r="M5" i="10"/>
  <c r="C27" i="5"/>
  <c r="C26" i="5"/>
  <c r="B25" i="5"/>
  <c r="G18" i="9"/>
  <c r="U3" i="9"/>
  <c r="W3" i="9"/>
  <c r="S3" i="9"/>
  <c r="O3" i="9"/>
  <c r="K3" i="9"/>
  <c r="E8" i="9"/>
  <c r="G8" i="9"/>
  <c r="O37" i="3"/>
  <c r="O38" i="3"/>
  <c r="O41" i="3"/>
  <c r="O42" i="3"/>
  <c r="O43" i="3"/>
  <c r="O36" i="3"/>
  <c r="E3" i="9"/>
  <c r="G3" i="9"/>
  <c r="B12" i="11"/>
  <c r="B8" i="11"/>
  <c r="B12" i="10"/>
  <c r="B8" i="10"/>
  <c r="C14" i="7"/>
  <c r="C10" i="7"/>
  <c r="C9" i="7"/>
  <c r="C8" i="7"/>
  <c r="C7" i="7"/>
  <c r="C6" i="7"/>
  <c r="C11" i="7"/>
  <c r="G21" i="8"/>
  <c r="F21" i="8"/>
  <c r="H20" i="8"/>
  <c r="G20" i="8"/>
  <c r="F20" i="8"/>
  <c r="E5" i="11" l="1"/>
  <c r="U5" i="11"/>
  <c r="M5" i="11"/>
  <c r="I5" i="11"/>
  <c r="E13" i="11"/>
  <c r="E15" i="11" s="1"/>
  <c r="U5" i="10"/>
  <c r="I5" i="10"/>
  <c r="E13" i="10"/>
  <c r="E15" i="10" s="1"/>
  <c r="G13" i="9" l="1"/>
  <c r="U5" i="9"/>
  <c r="R17" i="5"/>
  <c r="G17" i="5"/>
  <c r="H17" i="5"/>
  <c r="I17" i="5"/>
  <c r="J17" i="5"/>
  <c r="K17" i="5"/>
  <c r="L17" i="5"/>
  <c r="M17" i="5"/>
  <c r="N17" i="5"/>
  <c r="O17" i="5"/>
  <c r="P17" i="5"/>
  <c r="Q17" i="5"/>
  <c r="F17" i="5"/>
  <c r="F19" i="5" s="1"/>
  <c r="R15" i="5"/>
  <c r="G15" i="5"/>
  <c r="H15" i="5"/>
  <c r="I15" i="5"/>
  <c r="J15" i="5"/>
  <c r="K15" i="5"/>
  <c r="L15" i="5"/>
  <c r="M15" i="5"/>
  <c r="N15" i="5"/>
  <c r="O15" i="5"/>
  <c r="P15" i="5"/>
  <c r="Q15" i="5"/>
  <c r="F15" i="5"/>
  <c r="R7" i="5"/>
  <c r="G7" i="5"/>
  <c r="H7" i="5"/>
  <c r="I7" i="5"/>
  <c r="J7" i="5"/>
  <c r="K7" i="5"/>
  <c r="L7" i="5"/>
  <c r="M7" i="5"/>
  <c r="N7" i="5"/>
  <c r="O7" i="5"/>
  <c r="P7" i="5"/>
  <c r="Q7" i="5"/>
  <c r="F7" i="5"/>
  <c r="R3" i="5"/>
  <c r="G3" i="5"/>
  <c r="H3" i="5"/>
  <c r="I3" i="5"/>
  <c r="J3" i="5"/>
  <c r="K3" i="5"/>
  <c r="L3" i="5"/>
  <c r="M3" i="5"/>
  <c r="N3" i="5"/>
  <c r="O3" i="5"/>
  <c r="P3" i="5"/>
  <c r="Q3" i="5"/>
  <c r="F3" i="5"/>
  <c r="E19" i="5"/>
  <c r="D19" i="5"/>
  <c r="C19" i="5"/>
  <c r="B12" i="9"/>
  <c r="B8" i="9"/>
  <c r="E13" i="9" l="1"/>
  <c r="E15" i="9" s="1"/>
  <c r="E10" i="9"/>
  <c r="E5" i="9"/>
  <c r="G19" i="5"/>
  <c r="R19" i="5" s="1"/>
  <c r="U3" i="1" s="1"/>
  <c r="U5" i="1" s="1"/>
  <c r="Q5" i="1"/>
  <c r="M5" i="1"/>
  <c r="I5" i="1"/>
  <c r="E25" i="1"/>
  <c r="E15" i="1"/>
  <c r="E5" i="1"/>
  <c r="I33" i="6"/>
  <c r="H33" i="6"/>
  <c r="G33" i="6"/>
  <c r="G34" i="6" s="1"/>
  <c r="Q3" i="1"/>
  <c r="M3" i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" i="6"/>
  <c r="G23" i="1"/>
  <c r="G18" i="1"/>
  <c r="G13" i="1"/>
  <c r="G8" i="1"/>
  <c r="W3" i="1"/>
  <c r="S3" i="1"/>
  <c r="O3" i="1"/>
  <c r="K3" i="1"/>
  <c r="E3" i="1"/>
  <c r="E13" i="1" s="1"/>
  <c r="G3" i="1"/>
  <c r="B12" i="1"/>
  <c r="B8" i="1"/>
  <c r="C4" i="8"/>
  <c r="C5" i="8"/>
  <c r="C6" i="8"/>
  <c r="E8" i="1"/>
  <c r="C20" i="7"/>
  <c r="C18" i="7"/>
  <c r="C17" i="7"/>
  <c r="C16" i="7"/>
  <c r="C5" i="7"/>
  <c r="C4" i="7"/>
  <c r="E10" i="1" l="1"/>
  <c r="I3" i="9"/>
  <c r="I5" i="9" s="1"/>
  <c r="Q3" i="9"/>
  <c r="M3" i="9"/>
  <c r="M5" i="9" s="1"/>
  <c r="I3" i="1"/>
  <c r="H34" i="6"/>
  <c r="I34" i="6" s="1"/>
</calcChain>
</file>

<file path=xl/sharedStrings.xml><?xml version="1.0" encoding="utf-8"?>
<sst xmlns="http://schemas.openxmlformats.org/spreadsheetml/2006/main" count="847" uniqueCount="423">
  <si>
    <t>No.</t>
  </si>
  <si>
    <t>Name</t>
  </si>
  <si>
    <t>h-index</t>
  </si>
  <si>
    <t>Scopus author ID</t>
  </si>
  <si>
    <t>Research center</t>
  </si>
  <si>
    <t>เริ่มทำงาน</t>
  </si>
  <si>
    <t>อายุงาน</t>
  </si>
  <si>
    <t>ประเภทนักวิจัย</t>
  </si>
  <si>
    <t>Rerkasem, Kittipan</t>
  </si>
  <si>
    <t>NINE</t>
  </si>
  <si>
    <t>อาวุโส</t>
  </si>
  <si>
    <t>Hongsibsong, Surat</t>
  </si>
  <si>
    <t>รุ่นกลาง</t>
  </si>
  <si>
    <t>Chariyalertsak, Suwat</t>
  </si>
  <si>
    <t>ISDU</t>
  </si>
  <si>
    <t>Srithanaviboonchai, Kriengkrai</t>
  </si>
  <si>
    <t>Aurpibul, Linda</t>
  </si>
  <si>
    <t>Sripan, Patumrat</t>
  </si>
  <si>
    <t>รุ่นใหม่</t>
  </si>
  <si>
    <t>Prapamontol, Tippawan</t>
  </si>
  <si>
    <t>Supparatpinyo, Khuanchai</t>
  </si>
  <si>
    <t>Tangmunkongvorakul, Arunrat</t>
  </si>
  <si>
    <t>Ounjaijean, Sakaewan</t>
  </si>
  <si>
    <t>Kulprachakarn, Kanokwan</t>
  </si>
  <si>
    <t>Rerkasem, Amaraporn</t>
  </si>
  <si>
    <t>Wipasa, Jiraprapa</t>
  </si>
  <si>
    <t>CMBID</t>
  </si>
  <si>
    <t>Hongjaisee, Sayamon</t>
  </si>
  <si>
    <t>Kawichai, Sawaeng</t>
  </si>
  <si>
    <t>Nantakool, Sothida</t>
  </si>
  <si>
    <t>Boonyapranai, Kongsak</t>
  </si>
  <si>
    <t>Thaikla, Kanittha</t>
  </si>
  <si>
    <t>Chawansuntati, Kriangkrai</t>
  </si>
  <si>
    <t>Parklak, Wason</t>
  </si>
  <si>
    <t>Sakkhachornphop, Supachai</t>
  </si>
  <si>
    <t>Lumjuan, Nongkran</t>
  </si>
  <si>
    <t>Sugandhavesa, Patcharaphan</t>
  </si>
  <si>
    <t>Wongtrakul, Jeerang</t>
  </si>
  <si>
    <t>Chotirosniramit, Nuntisa</t>
  </si>
  <si>
    <t>Wongta, Anurak</t>
  </si>
  <si>
    <t>Kosashunhanan, Natthapol</t>
  </si>
  <si>
    <t>Kantamala, Doungnapa</t>
  </si>
  <si>
    <t>Utaipat, Utaiwan</t>
  </si>
  <si>
    <t>Supindham, Taweewat</t>
  </si>
  <si>
    <t>อ.หทัยชนก จุลเจิม</t>
  </si>
  <si>
    <t>จำนวนนักวิจัย</t>
  </si>
  <si>
    <t>H-Index</t>
  </si>
  <si>
    <t>Pub. In SCOPUS</t>
  </si>
  <si>
    <t>KPI</t>
  </si>
  <si>
    <t>เป้าหมาย</t>
  </si>
  <si>
    <t>ปี</t>
  </si>
  <si>
    <t>RIHES</t>
  </si>
  <si>
    <t>IDSU</t>
  </si>
  <si>
    <t>Researcher</t>
  </si>
  <si>
    <t>Pub. in SCOPUS Q1</t>
  </si>
  <si>
    <t>Pub./faculty</t>
  </si>
  <si>
    <t>Citation/faculty</t>
  </si>
  <si>
    <t>Patent</t>
  </si>
  <si>
    <t>Total fund (MB)</t>
  </si>
  <si>
    <t>Int. fund (MB)</t>
  </si>
  <si>
    <t>Thai fund (MB)</t>
  </si>
  <si>
    <t>Total income (MB)</t>
  </si>
  <si>
    <t>/</t>
  </si>
  <si>
    <t>Title</t>
  </si>
  <si>
    <t>Authors</t>
  </si>
  <si>
    <t>Scopus Author Ids</t>
  </si>
  <si>
    <t>Year</t>
  </si>
  <si>
    <t>Scopus Source title</t>
  </si>
  <si>
    <t>SJR (publication year)</t>
  </si>
  <si>
    <t>SJR percentile (publication year) *</t>
  </si>
  <si>
    <t>Citations</t>
  </si>
  <si>
    <t>Reference</t>
  </si>
  <si>
    <t>EID</t>
  </si>
  <si>
    <t>Scopus Author ID First Author</t>
  </si>
  <si>
    <t>Scopus Author ID Corresponding Author</t>
  </si>
  <si>
    <t>Antioxidant Activities and Characterization of Polyphenols from Selected Northern Thai Rice Husks: Relation with Seed Attributes</t>
  </si>
  <si>
    <t>Wisetkomolmat, J.| Arjin, C.| Hongsibsong, S.| Ruksiriwanich, W.| Niwat, C.| Tiyayon, P.| Jamjod, S.| Yamuangmorn, S.| Prom-U-Thai, C.| Sringarm, K.</t>
  </si>
  <si>
    <t>57215416673| 57216199741| 35763581100| 36097575200| 15065727300| 36844665000| 6506781260| 57201669603| 14023330900| 55553831600</t>
  </si>
  <si>
    <t>Rice Science</t>
  </si>
  <si>
    <t>-</t>
  </si>
  <si>
    <t>Wisetkomolmat, J., Arjin, C., Hongsibsong, S. and 7 more (...) (2023).Antioxidant Activities and Characterization of Polyphenols from Selected Northern Thai Rice Husks: Relation with Seed Attributes. Rice Science,30(2) 148-159</t>
  </si>
  <si>
    <t>2-s2.0-85147805893</t>
  </si>
  <si>
    <t>Expert review of global real-world data on COVID-19 vaccine booster effectiveness and safety during the omicron-dominant phase of the pandemic</t>
  </si>
  <si>
    <t>Solante, R.| Alvarez-Moreno, C.| Burhan, E.| Chariyalertsak, S.| Chiu, N.-C.| Chuenkitmongkol, S.| Dung, D.V.| Hwang, K.-P.| Ortiz Ibarra, J.| Kiertiburanakul, S.| Kulkarni, P.S.| Lee, C.| Lee, P.-I.| Lobo, R.C.| Macias, A.| Nghia, C.H.| Ong-Lim, A.L.| Rodriguez-Morales, A.J.| Richtmann, R.| Safadi, M.A.P.| Satari, H.I.| Thwaites, G.</t>
  </si>
  <si>
    <t>8728553100| 57221557200| 36058554600| 6701823706| 7006177196| 25721828800| 57969379200| 7402426564| 57849392300| 6506539792| 57792284900| 57942467900| 7406120769| 57791287700| 57850821200| 26768042700| 6505744075| 8886801000| 6603477810| 15049739000| 57191347814| 6603796838</t>
  </si>
  <si>
    <t>Expert Review of Vaccines</t>
  </si>
  <si>
    <t>Solante, R., Alvarez-Moreno, C., Burhan, E. and 19 more (...) (2023).Expert review of global real-world data on COVID-19 vaccine booster effectiveness and safety during the omicron-dominant phase of the pandemic. Expert Review of Vaccines,22(1) 1-16</t>
  </si>
  <si>
    <t>2-s2.0-85142148414</t>
  </si>
  <si>
    <t>Safety of Carotid Endarterectomy for Symptomatic Stenosis by Age: Meta-Analysis with Individual Patient Data</t>
  </si>
  <si>
    <t>Leung, Y.Y.R.| Bera, K.| Urriza Rodriguez, D.| Dardik, A.| Mas, J.-L.| Simonte, G.| Rerkasem, K.| Howard, D.P.J.</t>
  </si>
  <si>
    <t>58074024800| 57227546600| 56134310500| 7003537020| 7102288811| 54786917300| 8659870200| 10440211400</t>
  </si>
  <si>
    <t>Stroke</t>
  </si>
  <si>
    <t>Leung, Y.Y.R., Bera, K., Urriza Rodriguez, D. and 5 more (...) (2023).Safety of Carotid Endarterectomy for Symptomatic Stenosis by Age: Meta-Analysis with Individual Patient Data. Stroke,54(2) 457-467</t>
  </si>
  <si>
    <t>2-s2.0-85146724443</t>
  </si>
  <si>
    <t>Ideal cardiovascular health and all-cause or cardiovascular mortality in a longitudinal study of the Thai National Health Examination Survey IV and V</t>
  </si>
  <si>
    <t>Aekplakorn, W.| Neelapaichit, N.| Chariyalertsak, S.| Kessomboon, P.| Assanangkornchai, S.| Taneepanichskul, S.| Sangwatanaroj, S.| Laohavinij, W.| Nonthaluck, J.</t>
  </si>
  <si>
    <t>6603565133| 56210861300| 6701823706| 11539835000| 6603003749| 56204069300| 6602181236| 57053423700| 55279781300</t>
  </si>
  <si>
    <t>Scientific Reports</t>
  </si>
  <si>
    <t xml:space="preserve">Aekplakorn, W., Neelapaichit, N., Chariyalertsak, S. and 6 more (...) (2023).Ideal cardiovascular health and all-cause or cardiovascular mortality in a longitudinal study of the Thai National Health Examination Survey IV and V. Scientific Reports,13(1) </t>
  </si>
  <si>
    <t>2-s2.0-85148260707</t>
  </si>
  <si>
    <t>Reduction in severity and mortality in COVID-19 patients owing to heterologous third and fourth-dose vaccines during the periods of delta and omicron predominance in Thailand</t>
  </si>
  <si>
    <t>Intawong, K.| Chariyalertsak, S.| Chalom, K.| Wonghirundecha, T.| Kowatcharakul, W.| Ayood, P.| Thongprachum, A.| Chotirosniramit, N.| Noppakun, K.| Khwanngern, K.| Teacharak, W.| Piamanant, P.| Khammawan, P.</t>
  </si>
  <si>
    <t>55861000300| 6701823706| 57223086060| 57819511700| 57217501067| 57211047304| 24077240200| 8659870300| 6504189748| 15845771300| 57820208100| 57996501400| 57820380400</t>
  </si>
  <si>
    <t>International Journal of Infectious Diseases</t>
  </si>
  <si>
    <t>Intawong, K., Chariyalertsak, S., Chalom, K. and 10 more (...) (2023).Reduction in severity and mortality in COVID-19 patients owing to heterologous third and fourth-dose vaccines during the periods of delta and omicron predominance in Thailand. International Journal of Infectious Diseases,12631-38</t>
  </si>
  <si>
    <t>2-s2.0-85143541320</t>
  </si>
  <si>
    <t>Antioxidant, Anti-Diabetic, Anti-Obesity, and Antihypertensive Properties of Protein Hydrolysate and Peptide Fractions from Black Sesame Cake</t>
  </si>
  <si>
    <t>Chaipoot, S.| Punfa, W.| Ounjaijean, S.| Phongphisutthinant, R.| Kulprachakarn, K.| Parklak, W.| Phaworn, L.| Rotphet, P.| Boonyapranai, K.</t>
  </si>
  <si>
    <t>57211442803| 54406010000| 16314391500| 57198801872| 56514051100| 57079068000| 58044564000| 58044564100| 27867469100</t>
  </si>
  <si>
    <t>Molecules</t>
  </si>
  <si>
    <t xml:space="preserve">Chaipoot, S., Punfa, W., Ounjaijean, S. and 6 more (...) (2023).Antioxidant, Anti-Diabetic, Anti-Obesity, and Antihypertensive Properties of Protein Hydrolysate and Peptide Fractions from Black Sesame Cake. Molecules,28(1) </t>
  </si>
  <si>
    <t>2-s2.0-85145724209</t>
  </si>
  <si>
    <t>Diagnostic performance between in-house and commercial SARS-CoV-2 serological immunoassays including binding-specific antibody and surrogate virus neutralization test (sVNT)</t>
  </si>
  <si>
    <t>Winichakoon, P.| Wipasa, J.| Chawansuntati, K.| Salee, P.| Sudjaritruk, T.| Yasri, S.| khamwan, C.| Peerakam, R.| Dankai, D.| Chaiwarith, R.</t>
  </si>
  <si>
    <t>56986698000| 6506460324| 6503874197| 25724691300| 36538198800| 57222514577| 6507830420| 58039233300| 55813114500| 13806165200</t>
  </si>
  <si>
    <t xml:space="preserve">Winichakoon, P., Wipasa, J., Chawansuntati, K. and 7 more (...) (2023).Diagnostic performance between in-house and commercial SARS-CoV-2 serological immunoassays including binding-specific antibody and surrogate virus neutralization test (sVNT). Scientific Reports,13(1) </t>
  </si>
  <si>
    <t>2-s2.0-85145389890</t>
  </si>
  <si>
    <t>A Blooming Springtime</t>
  </si>
  <si>
    <t>Papanas, N.| Papi, M.| Rerkasem, K.</t>
  </si>
  <si>
    <t>12763313600| 7003855396| 8659870200</t>
  </si>
  <si>
    <t>International Journal of Lower Extremity Wounds</t>
  </si>
  <si>
    <t xml:space="preserve">Papanas, N., Papi, M., Rerkasem, K. (2023).A Blooming Springtime. International Journal of Lower Extremity Wounds,22(1) </t>
  </si>
  <si>
    <t>2-s2.0-85147317808</t>
  </si>
  <si>
    <t>Stigmatizing and discriminatory attitudes toward people living with HIV/AIDS (PLWHA) among general adult population: the results from the 6th Thai National Health Examination Survey (NHES VI)</t>
  </si>
  <si>
    <t>Chautrakarn, S.| Ong-Artborirak, P.| Naksen, W.| Thongprachum, A.| Wungrath, J.| Chariyalertsak, S.| Stonington, S.| Taneepanichskul, S.| Assanangkornchai, S.| Kessomboon, P.| Neelapaichit, N.| Aekplakorn, W.</t>
  </si>
  <si>
    <t>36112770500| 55649178800| 55370393100| 24077240200| 57200014460| 6701823706| 15059409300| 56204069300| 6603003749| 11539835000| 56210861300| 6603565133</t>
  </si>
  <si>
    <t>Journal of global health</t>
  </si>
  <si>
    <t>Chautrakarn, S., Ong-Artborirak, P., Naksen, W. and 9 more (...) (2023).Stigmatizing and discriminatory attitudes toward people living with HIV/AIDS (PLWHA) among general adult population: the results from the 6th Thai National Health Examination Survey (NHES VI). Journal of global health,13</t>
  </si>
  <si>
    <t>2-s2.0-85146364013</t>
  </si>
  <si>
    <t>Health Risk Assessment from Organophosphate Insecticides Residues in Commonly Consumed Vegetables of Local Markets, Northern Thailand</t>
  </si>
  <si>
    <t>Naksen, W.| Hongsibsong, S.| Xu, Z.-L.| Kosashunhanan, N.| Kerdnoi, T.| Prapamontol, T.| Patarasiriwong, V.</t>
  </si>
  <si>
    <t>55370393100| 35763581100| 57927194000| 55554435600| 55793888200| 8517733000| 56703427000</t>
  </si>
  <si>
    <t>Journal of Health Research</t>
  </si>
  <si>
    <t>Naksen, W., Hongsibsong, S., Xu, Z.-L. and 4 more (...) (2023).Health Risk Assessment from Organophosphate Insecticides Residues in Commonly Consumed Vegetables of Local Markets, Northern Thailand. Journal of Health Research,37(3) 153-162</t>
  </si>
  <si>
    <t>2-s2.0-85147711965</t>
  </si>
  <si>
    <t>Synergistic antimalarial treatment of Plasmodium berghei infection in mice with dihydroartemisinin and Gymnema inodorum leaf extract</t>
  </si>
  <si>
    <t>Ounjaijean, S.| Somsak, V.</t>
  </si>
  <si>
    <t>16314391500| 47161561800</t>
  </si>
  <si>
    <t>BMC Complementary Medicine and Therapies</t>
  </si>
  <si>
    <t xml:space="preserve">Ounjaijean, S., Somsak, V. (2023).Synergistic antimalarial treatment of Plasmodium berghei infection in mice with dihydroartemisinin and Gymnema inodorum leaf extract. BMC Complementary Medicine and Therapies,23(1) </t>
  </si>
  <si>
    <t>2-s2.0-85146778218</t>
  </si>
  <si>
    <t>Pharmacokinetics, Tolerability, and Safety of Doravirine and Doravirine/Lamivudine/Tenofovir Disoproxil Fumarate Fixed-Dose Combination Tablets in Adolescents Living with HIV: Week 24 Results from IMPAACT 2014</t>
  </si>
  <si>
    <t>Melvin, A.J.| Yee, K.L.| Gray, K.P.| Yedla, M.| Wan, H.| Tobin, N.H.| Teppler, H.| Campbell, H.| McCarthy, K.| Scheckter, R.| Aurpibul, L.| Ounchanum, P.| Rungmaitree, S.| Cassim, H.| McFarland, E.| Flynn, P.| Cooper, E.| Krotje, C.| Townley, E.| Moye, J.| Best, B.M.| Beck, J.| Sise, T.| Kapogiannis, B.G.| George, K.| Morgan, P.| Woolwine-Cunningham, Y.| Leblanc, R.| Trabert, K.| Mendell, J.| Alvero, C.| Farhad, M.| Pasyar, S.| Muresan, P.| Patel, N.| English, A.| Heince, R.| Jones, S.| McLaud, D.| Hays, S.C.| Dunn, J.| Navarro, K.| Robson, A.| Ndiwani, H.| Mathiba, R.| Violari, A.| Ramsagar, N.| Chotirosniramit, N.| Khamrong, C.| Jantong, J.| Cressy, T.R.| Sukrakanchana, P.-O.| Thaweesombat, Y.| Kaewmamuang, K.| Vanprapar, N.| Chokephaibulkit, K.| Kongstan, N.| Lermankul, W.</t>
  </si>
  <si>
    <t>7003354420| 57216168334| 57656042400| 58061463800| 35082993700| 6701639292| 6701388329| 35212955700| 55922509900| 55315100300| 15843258100| 57200558813| 55911634900| 55369559700| 58061487600| 7102268918| 57198242992| 57222659161| 6603217218| 57203530503| 11339308900| 58065566100| 36683111800| 12796875000| 18835168600| 57650557000| 56800929300| 57222165791| 58065566200| 58065705500| 16686176100| 55602676200| 57213171167| 9843584400| 15761024600| 58065287100| 58065846600| 58065152000| 57189925275| 58065846700| 56799730300| 57224955347| 58065705600| 58065427100| 57216656569| 8674786700| 57407438900| 55554599000| 57193453387| 58065428000| 58065706100| 8525046500| 56015391000| 57215507163| 56510305300| 7003974471| 12140215300| 57193483891</t>
  </si>
  <si>
    <t>Journal of Acquired Immune Deficiency Syndromes</t>
  </si>
  <si>
    <t>Melvin, A.J., Yee, K.L., Gray, K.P. and 55 more (...) (2023).Pharmacokinetics, Tolerability, and Safety of Doravirine and Doravirine/Lamivudine/Tenofovir Disoproxil Fumarate Fixed-Dose Combination Tablets in Adolescents Living with HIV: Week 24 Results from IMPAACT 2014. Journal of Acquired Immune Deficiency Syndromes,92(2) 153-161</t>
  </si>
  <si>
    <t>2-s2.0-85146140094</t>
  </si>
  <si>
    <t>Gymnema inodorum Leaf Extract Improves Cardiac Function in Experimental Mice Infected with Plasmodium Berghei</t>
  </si>
  <si>
    <t>Ounjaijean, S.| Rattanatham, R.| Somsak, V.| Boonhoh, W.| Surinkaew, S.</t>
  </si>
  <si>
    <t>16314391500| 57233721600| 47161561800| 57207833937| 39161944800</t>
  </si>
  <si>
    <t>Journal of Evidence-Based Integrative Medicine</t>
  </si>
  <si>
    <t>Ounjaijean, S., Rattanatham, R., Somsak, V. and 2 more (...) (2023).Gymnema inodorum Leaf Extract Improves Cardiac Function in Experimental Mice Infected with Plasmodium Berghei. Journal of Evidence-Based Integrative Medicine,28</t>
  </si>
  <si>
    <t>2-s2.0-85145976155</t>
  </si>
  <si>
    <t>Placental Transfer Immunity to the Newborns in a Twin Pregnant Women Vaccinated with Heterologous CoronaVac-ChAdOx1</t>
  </si>
  <si>
    <t>Pongsatha, S.| Chawansuntati, K.| Sakkhachornphop, S.| Tongsong, T.</t>
  </si>
  <si>
    <t>6701432277| 6503874197| 6508106597| 7004980902</t>
  </si>
  <si>
    <t>Vaccines</t>
  </si>
  <si>
    <t xml:space="preserve">Pongsatha, S., Chawansuntati, K., Sakkhachornphop, S. and 1 more (...) (2023).Placental Transfer Immunity to the Newborns in a Twin Pregnant Women Vaccinated with Heterologous CoronaVac-ChAdOx1. Vaccines,11(1) </t>
  </si>
  <si>
    <t>2-s2.0-85146776261</t>
  </si>
  <si>
    <t>6503874197| 7004980902</t>
  </si>
  <si>
    <t>Alcohol use, suicidality and virologic non-suppression among young adults with perinatally acquired HIV in Thailand: a cross-sectional study</t>
  </si>
  <si>
    <t>Aurpibul, L.| Kosalaraksa, P.| Kawichai, S.| Lumbiganon, P.| Ounchanum, P.| Natalie Songtaweesin, W.| Sudjaritruk, T.| Chokephaibulkit, K.| Rungmaitree, S.| Suwanlerk, T.| Ross, J.L.| Sohn, A.H.| Puthanakit, T.</t>
  </si>
  <si>
    <t>15843258100| 6603500722| 57194466230| 35564244800| 57200558813| 58104182900| 36538198800| 7003974471| 55911634900| 35304321800| 57193109926| 7006405275| 8071686900</t>
  </si>
  <si>
    <t>Journal of the International AIDS Society</t>
  </si>
  <si>
    <t xml:space="preserve">Aurpibul, L., Kosalaraksa, P., Kawichai, S. and 10 more (...) (2023).Alcohol use, suicidality and virologic non-suppression among young adults with perinatally acquired HIV in Thailand: a cross-sectional study. Journal of the International AIDS Society,26(2) </t>
  </si>
  <si>
    <t>2-s2.0-85148113769</t>
  </si>
  <si>
    <t>Prevalence and factors associated with atrophic gastritis and intestinal metaplasia: A multivariate, hospital-based, statistical analysis</t>
  </si>
  <si>
    <t>Chitapanarux, T.| Kongkarnka, S.| Wannasai, K.| Sripan, P.</t>
  </si>
  <si>
    <t>6507255542| 14040542500| 36006657500| 55571003400</t>
  </si>
  <si>
    <t>Cancer Epidemiology</t>
  </si>
  <si>
    <t>Chitapanarux, T., Kongkarnka, S., Wannasai, K. and 1 more (...) (2023).Prevalence and factors associated with atrophic gastritis and intestinal metaplasia: A multivariate, hospital-based, statistical analysis. Cancer Epidemiology,82</t>
  </si>
  <si>
    <t>2-s2.0-85143340141</t>
  </si>
  <si>
    <t>Higher Dose Oral Fluconazole for the Treatment of AIDS-related Cryptococcal Meningitis (HIFLAC)—report of A5225, a multicentre, phase I/II, two-stage, dose-finding, safety, tolerability and efficacy randomised, amphotericin B-controlled trial of the AIDS Clinical Trials Group</t>
  </si>
  <si>
    <t>Lalloo, U.G.| Komarow, L.| Aberg, J.A.| Clifford, D.B.| Hogg, E.| McKhann, A.| Bukuru, A.| Lagat, D.| Pillay, S.| Mave, V.| Supparatpinyo, K.| Samaneka, W.| Langat, D.| Ticona, E.| Badal-Faesen, S.| Larsen, R.A.| Rassool, M.| Mwelase, N.| Mnqibisa, R.| Naidoo, M.| Sanchez, A.| Edmondson, H.| Rwambuya, S.| Siika, A.M.| Lagat, D.K.| Sugandhvesa, P.| Tavornprasit, D.| MacRae, J.</t>
  </si>
  <si>
    <t>7003271292| 13608926600| 56622558700| 57541969200| 23008686100| 57207741883| 57203319871| 56161525300| 24503982300| 24778446900| 6602542079| 55347050100| 57203317803| 6602406993| 36093886800| 58100723700| 36107361200| 56145760000| 58106781700| 58106726700| 57199979202| 58106781800| 16305359200| 14521398300| 56161525300| 58106507100| 58106507200| 57203321726</t>
  </si>
  <si>
    <t>PLoS ONE</t>
  </si>
  <si>
    <t xml:space="preserve">Lalloo, U.G., Komarow, L., Aberg, J.A. and 25 more (...) (2023).Higher Dose Oral Fluconazole for the Treatment of AIDS-related Cryptococcal Meningitis (HIFLAC)—report of A5225, a multicentre, phase I/II, two-stage, dose-finding, safety, tolerability and efficacy randomised, amphotericin B-controlled trial of the AIDS Clinical Trials Group. PLoS ONE,18(2) </t>
  </si>
  <si>
    <t>2-s2.0-85147912665</t>
  </si>
  <si>
    <t>Safety and Effects of Lactobacillus paracasei TISTR 2593 Supplementation on Improving Cholesterol Metabolism and Atherosclerosis-Related Parameters in Subjects with Hypercholesterolemia: A Randomized, Double-Blind, Placebo-Controlled Clinical Trial</t>
  </si>
  <si>
    <t>Khongrum, J.| Yingthongchai, P.| Boonyapranai, K.| Wongtanasarasin, W.| Aobchecy, P.| Tateing, S.| Prachansuwan, A.| Sitdhipol, J.| Niwasabutra, K.| Thaveethaptaikul, P.| Phapugrangkul, P.| Chonpathompikunlert, P.</t>
  </si>
  <si>
    <t>55324247700| 57913611300| 27867469100| 57217094265| 58098455800| 56966779300| 56940877300| 55345617800| 57195322503| 57757756700| 37013726400| 24485430200</t>
  </si>
  <si>
    <t>Nutrients</t>
  </si>
  <si>
    <t xml:space="preserve">Khongrum, J., Yingthongchai, P., Boonyapranai, K. and 9 more (...) (2023).Safety and Effects of Lactobacillus paracasei TISTR 2593 Supplementation on Improving Cholesterol Metabolism and Atherosclerosis-Related Parameters in Subjects with Hypercholesterolemia: A Randomized, Double-Blind, Placebo-Controlled Clinical Trial. Nutrients,15(3) </t>
  </si>
  <si>
    <t>2-s2.0-85147831196</t>
  </si>
  <si>
    <t>55324247700| 24485430200</t>
  </si>
  <si>
    <t>Formation of biogenic amines in soy sauce and reduction via simple phytochemical addition</t>
  </si>
  <si>
    <t>Zhou, K.| Zhang, X.| Huang, G.-D.| Hongsibsong, S.| Hao, G.| Li, Y.-M.| Yang, J.-Y.| Xu, Z.-L.</t>
  </si>
  <si>
    <t>57194536766| 57376992200| 35074102200| 35763581100| 58089307100| 58089427000| 57376992300| 8154887200</t>
  </si>
  <si>
    <t>LWT</t>
  </si>
  <si>
    <t>Zhou, K., Zhang, X., Huang, G.-D. and 5 more (...) (2023).Formation of biogenic amines in soy sauce and reduction via simple phytochemical addition. LWT,176</t>
  </si>
  <si>
    <t>2-s2.0-85147327594</t>
  </si>
  <si>
    <t>35763581100| 8154887200</t>
  </si>
  <si>
    <t>The anti-leukemic activity of a luteolin-apigenin enriched fraction from an edible and ethnomedicinal plant, Elsholtzia stachyodes, is exerted through an ER stress/autophagy/cell cycle arrest/ apoptotic cell death signaling axis</t>
  </si>
  <si>
    <t>Kulaphisit, M.| Pomlok, K.| Saenjum, C.| Mungkornasawakul, P.| Trisuwan, K.| Wipasa, J.| Inta, A.| Smith, D.R.| Lithanatudom, P.</t>
  </si>
  <si>
    <t>57194773593| 57217135805| 55812213900| 6506577246| 23969701900| 6506460324| 23492241300| 7410365759| 33267773400</t>
  </si>
  <si>
    <t>Biomedicine and Pharmacotherapy</t>
  </si>
  <si>
    <t>Kulaphisit, M., Pomlok, K., Saenjum, C. and 6 more (...) (2023).The anti-leukemic activity of a luteolin-apigenin enriched fraction from an edible and ethnomedicinal plant, Elsholtzia stachyodes, is exerted through an ER stress/autophagy/cell cycle arrest/ apoptotic cell death signaling axis. Biomedicine and Pharmacotherapy,160</t>
  </si>
  <si>
    <t>2-s2.0-85147335867</t>
  </si>
  <si>
    <t>55812213900| 33267773400</t>
  </si>
  <si>
    <t>Pub in SCOPUS</t>
  </si>
  <si>
    <t>Pub in SCOPUS Q1</t>
  </si>
  <si>
    <t>Income (MB)</t>
  </si>
  <si>
    <t>Pub per Faculty</t>
  </si>
  <si>
    <t>No</t>
  </si>
  <si>
    <t>วันที่</t>
  </si>
  <si>
    <t>CMU MIS</t>
  </si>
  <si>
    <t>Project name</t>
  </si>
  <si>
    <t>PI</t>
  </si>
  <si>
    <t>ชื่อย่อโครงการ</t>
  </si>
  <si>
    <t>แหล่งทุน</t>
  </si>
  <si>
    <t>ประเภทแหล่งทุน
(มช./ในประเทศ/นอกประเทศ)</t>
  </si>
  <si>
    <t>สังกัด
(ภาครัฐ/ภาคเอกชน)</t>
  </si>
  <si>
    <t>invoice / รายละเอียด</t>
  </si>
  <si>
    <t>R000021606</t>
  </si>
  <si>
    <t>GS-US-380-5310: การศึกษาวิจัยระยะที่ 1 ปี แบบเปิดเผยชื่อยาเพื่อประเมินเภสัชจลนศาสตร์ความปลอดภัยและประสิทธิผลของยาบิคเทกราเวียร์/ยาเะอมไทรซิทาปีน/ยาทีโนโฟเวียร์ อลาฟินาไมด์ (B/F/TAF) ในสตรีมีครรภ์ที่ติดเชื้อเอชไอวีชนิดที่ 1 ที่สามารถควบคุมปริมาณไวรัสได้ในไตรมาสที่2 และไตรมาสที่ 3</t>
  </si>
  <si>
    <t>ลินดา เอื้อไพบูลย์</t>
  </si>
  <si>
    <t>GS-US-380-5310</t>
  </si>
  <si>
    <t>Gilead Sciences, Inc.</t>
  </si>
  <si>
    <t>ทุนวิจัยภายนอกประเทศ</t>
  </si>
  <si>
    <t>ภาคเอกชน</t>
  </si>
  <si>
    <t>Inv. 02(Revise)Aug 31,2022 = 519,331 บาท / Inv. 03 Dec 20, 2022 = 63,478.84 บาท</t>
  </si>
  <si>
    <t>R000018166</t>
  </si>
  <si>
    <t>SAWASDEE: Impact of prenatal insecticide exposure on neurodevelopmental trajectories in a Thai birth cohort: building exposure science and neurodevelopmental research capacity in Thailand</t>
  </si>
  <si>
    <t>ทิพวรรณ ประภามณฑล</t>
  </si>
  <si>
    <t>SAWASDEE</t>
  </si>
  <si>
    <t>National Institutes of Health</t>
  </si>
  <si>
    <t>ภาครัฐ</t>
  </si>
  <si>
    <t>invoice#26</t>
  </si>
  <si>
    <t>R000027495</t>
  </si>
  <si>
    <t>IMPAACT 2017/MOCHA: Phase I/II Study of the Safety, Acceptability, Tolerability, and Pharmacokinetics of Oral and Long-Acting Injectable Cabotegravir and Long-Acting Injectable Rilpivirine in Virologically Suppressed HIV-Infected Children and Adolescents</t>
  </si>
  <si>
    <t>IMPAACT 2017/MOCHA</t>
  </si>
  <si>
    <t>Per participant - ViiV 2017 Invoice Enrolling Sites_inv#07_$25,820</t>
  </si>
  <si>
    <t>R65EX00054</t>
  </si>
  <si>
    <t>นวัตกรรมชุดทดสอบสารบ่งชีทางชีวภาพจากการรับสัมผัสสารมลภาวะในสิ่งแวดล้อม</t>
  </si>
  <si>
    <t>สุรัตน์ หงษ์สิบสอง</t>
  </si>
  <si>
    <t>FF-66-SH</t>
  </si>
  <si>
    <t>กองทุน ววน. ประเภท Fundamental Fund  (Basic Research)</t>
  </si>
  <si>
    <t>ทุนวิจัยภายในประเทศ</t>
  </si>
  <si>
    <t xml:space="preserve">เบิกจ่ายร้อยละ 50 ของงบประมาณ เป็นเงินจำนวน 500,000.00 บาท (ห้าแสนบาทถ้วน) </t>
  </si>
  <si>
    <t>R65EX00150</t>
  </si>
  <si>
    <t>ความสัมพันธ์ ตัวบ่งชี้ทางสุขภาพ และกลไกระดับโมเลกุลของฝุ่นละอองขนาดเล็ก (PM2.5) จากภาคการเกษตรต่อการเกิดโรคเมตาบอลิก: การศึกษาในระดับเซลล์ สัตว์ทดลอง และในมนุษย์</t>
  </si>
  <si>
    <t>สะแกวัลย์ อุ่นใจจีน</t>
  </si>
  <si>
    <t>FF66_PM2.5_SO</t>
  </si>
  <si>
    <t>งวดที่ 1 เบิกจ่ายร้อยละ 50 ของงบประมาณ เป็นเงินจำนวน 1,500,000.00 บาท (หนึ่งล้านห้า
แสนบาทถ้วน) จะจ่ายเมื่อผู้ให้ทุนและผู้รับทุนลงนามในสัญญารับทุนเป็นที่เรียบร้อยแล้ว</t>
  </si>
  <si>
    <t>R000028672</t>
  </si>
  <si>
    <t>Suicidal behavior among Thai adolescent living with HIV (S-BETAH) study</t>
  </si>
  <si>
    <t>ทวิติยา  สุจริตรักษ์</t>
  </si>
  <si>
    <t>S-BETAH</t>
  </si>
  <si>
    <t>THE FOUNDATION FOR AIDS RESEARCH</t>
  </si>
  <si>
    <t>ROE 1</t>
  </si>
  <si>
    <t>R000028329</t>
  </si>
  <si>
    <t>BIT225-010: การวิจัยระยะที่ 2 เพื่อศึกษายา BIT225 ซึ่งเป็นสารยับยั้งโปรตีน Vpu ขอเชื้อไวรัสภูมิคุ้มกันบกพร่องในมนุษย์ชนิดที่ 1 (HIV-1) ในผู้ที่ติดเชื้อไวรัสเอชไอวี-1 ที่ไม่เคยได่รับการรักษามาก่อน ซึ่งเรื่มการรักษาด้วยยาต้านไวรัสสูตรผสม (cART) สูตรที่มียาโดลูเทกราเวียร์: การประเมินความปลอดภัยประสิทธิผล และตัวบ่งชี้การเกิดการอักเสบและตัวบ่งชี้การกระตุ้นภูมิคุ้มกัน</t>
  </si>
  <si>
    <t>ขวัญชัย ศุภรัตน์ภิญโญ</t>
  </si>
  <si>
    <t>BIT225</t>
  </si>
  <si>
    <t>Biotron Limited</t>
  </si>
  <si>
    <t>Invoice 27 = 96,720 บาท Invoice 28 = 66,330 บาท</t>
  </si>
  <si>
    <t>R000019101</t>
  </si>
  <si>
    <t>GSK205858: Open-label access to dolutegravir for HIV-1 infected children and adolescents completing IMPAACT Study P1093</t>
  </si>
  <si>
    <t>GSK205858</t>
  </si>
  <si>
    <t>ViiV Healthcare UK Limited, a Glaxo SmithKline affiliate ("ViiV")</t>
  </si>
  <si>
    <t>Q4-2022</t>
  </si>
  <si>
    <t>R000028316</t>
  </si>
  <si>
    <t>A5379: B-Enhancement Of HBV Vaccination In Persons Living With HIV (BEe-HIVe): Evaluation Of HEPLISAV-B</t>
  </si>
  <si>
    <t>A5379</t>
  </si>
  <si>
    <t>PF ACTG invoice#31784 November 2022 $6,374.16x33.46</t>
  </si>
  <si>
    <t>R000030190</t>
  </si>
  <si>
    <t>การตลาดและการขายยาเสพติดบนโลกอินเทอร์เน็ต ปี พ.ศ.2565</t>
  </si>
  <si>
    <t>กนิษฐา ไทยกล้า</t>
  </si>
  <si>
    <t>ยาออนไลน์65</t>
  </si>
  <si>
    <t>สำนักงานคณะกรรมการป้องกันและปราบปรามยาเสพติด</t>
  </si>
  <si>
    <t>งวดสุดท้าย ปิดโครงการ</t>
  </si>
  <si>
    <t>R000032013</t>
  </si>
  <si>
    <t>การศึกษาการเปลี่ยนแปลงของไมโครไบโอมในช่องคลอด และอิทธิพลของฮอร์โมนที่ใช้เพื่อการข้ามเพศที่มีความสัมพันธ์ต่อโรคติดต่อทางเพศสัมพันธ์ในหญิงไทยข้ามเพศ</t>
  </si>
  <si>
    <t>อมราภรณ์ ฤกษ์เกษม</t>
  </si>
  <si>
    <t>UMN-TG-AMR</t>
  </si>
  <si>
    <t>University of Minnesota/OIE Twinning Funding</t>
  </si>
  <si>
    <t>Invoice no.1 (September 2022 - November 2022)</t>
  </si>
  <si>
    <t>R000025469</t>
  </si>
  <si>
    <t>C-Free: การตรวจเลือดเพือหาการติดเชื้อเอชไอวีและไวรัสตับอักเสบและรักษาทันที สำหรับผู้ใช้ยาและคู่ในประเทศไทย: การวิจัยปลอดจากโรคไวรัสตับอักเสบซี</t>
  </si>
  <si>
    <t>นันทิสา โชติรสนิรมิต</t>
  </si>
  <si>
    <t>C-Free</t>
  </si>
  <si>
    <t>Dreamlopments LTD</t>
  </si>
  <si>
    <t>Invoice 26 - January 2023</t>
  </si>
  <si>
    <t>R000025590</t>
  </si>
  <si>
    <t>หน่วยวิจัยทางคลินิกด้านเอชไอวี/เอดส์และโรคติดเชื้อประเทศไทย (ไทย ซีทียู, THAI CTU) (พ.ศ.2563-2570)</t>
  </si>
  <si>
    <t>THAI CTU</t>
  </si>
  <si>
    <t>invoice#1/2023 (December 2022)</t>
  </si>
  <si>
    <t>R65EX00053</t>
  </si>
  <si>
    <t>การประเมินผลกระทบสุขภาพจากออกซิเดทีฟโพเท็นเชียลของฝุ่น PM2.5 จากการจำลองเผาชีวมวลที่มีสารเคมีกำจัดศัตรูพืชในภาคสนาม (โครงการย่อย FF66 คณะวิศวกรรมศาสตร์ มช)</t>
  </si>
  <si>
    <t>FF-66-TP</t>
  </si>
  <si>
    <t xml:space="preserve">งวดที่ 1 เบิกจ่ายร้อยละ 50 ของงบประมาณ เป็นเงินจำนวน 325,000 บาท </t>
  </si>
  <si>
    <t>ม.ค.</t>
  </si>
  <si>
    <t>ก.พ.</t>
  </si>
  <si>
    <t>รวม</t>
  </si>
  <si>
    <t>Row Labels</t>
  </si>
  <si>
    <t>(blank)</t>
  </si>
  <si>
    <t>Grand Total</t>
  </si>
  <si>
    <t>Sum of รวม</t>
  </si>
  <si>
    <t>MB</t>
  </si>
  <si>
    <t>สะสม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</si>
  <si>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</si>
  <si>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</si>
  <si>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</si>
  <si>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</si>
  <si>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</si>
  <si>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</si>
  <si>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</si>
  <si>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</si>
  <si>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</si>
  <si>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</si>
  <si>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</si>
  <si>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</si>
  <si>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Quartile</t>
  </si>
  <si>
    <t>Count of Title</t>
  </si>
  <si>
    <t>%Quartile</t>
  </si>
  <si>
    <t>Q1</t>
  </si>
  <si>
    <t>Q2</t>
  </si>
  <si>
    <t>Q3</t>
  </si>
  <si>
    <t>Thai fund</t>
  </si>
  <si>
    <t>Int. fund</t>
  </si>
  <si>
    <t>มี.ค.</t>
  </si>
  <si>
    <t>10/02/2023</t>
  </si>
  <si>
    <t>R000018165</t>
  </si>
  <si>
    <t>HPTN 083: A phase II observer-blind, multicentre, dose-ranging study of children 6 to less than 36 months of age who are primed with a 2-dose series of GSK Biologicals</t>
  </si>
  <si>
    <t>สุวัฒน์  จริยาเลิศศักดิ์</t>
  </si>
  <si>
    <t>HPTN083</t>
  </si>
  <si>
    <t>National Institutes of Health (NIH)</t>
  </si>
  <si>
    <t>invoice#63-November 2022</t>
  </si>
  <si>
    <t>invoice#64-December 2022</t>
  </si>
  <si>
    <t>R66EX00041</t>
  </si>
  <si>
    <t>การเฝ้าระวังตลาดบุหรี่ไฟฟ้าบนอินเทอร์เน็ต ปี พ.ศ. 2566</t>
  </si>
  <si>
    <t>กนิษฐา  ไทยกล้า</t>
  </si>
  <si>
    <t>บุหรี่ไฟฟ้า 2566</t>
  </si>
  <si>
    <t>ศูนย์วิจัยและจัดการความรู้เพื่อการควบคุมยาสูบ</t>
  </si>
  <si>
    <t>จ่ายภายใน 15 วันหลังลงนามในสัญญาจ้าง</t>
  </si>
  <si>
    <t>13/02/2023</t>
  </si>
  <si>
    <t>R000020583</t>
  </si>
  <si>
    <t>A5332: Randomized Trial to Prevent Vascular Events in HIV (REPRIEVE) (PF ACTG)</t>
  </si>
  <si>
    <t>A5332</t>
  </si>
  <si>
    <t>PF ACTG A5332 invoice#December 2022 $7,140.00x33.68</t>
  </si>
  <si>
    <t>R000031952</t>
  </si>
  <si>
    <t>ผลแบบฉับพลันของการออกกำลังกายแบบแอโรบิก และการออกกำลังกายด้วยการใช้อุปกรณ์สั่นทั้งตัวต่อการขนย้ายเนื้อเยื่อไขมัน การเผาผลาญไขมัน และการเปลี่ยนแปลงของระบบหัวใจและหลอดเลือดในผู้ที่มีภาวะอ้วน</t>
  </si>
  <si>
    <t>โศธิดา นันตระกูล</t>
  </si>
  <si>
    <t>นักวิจัยรุ่นใหม่ 65- ดร.โศธิดา</t>
  </si>
  <si>
    <t>มหาวิทยาลัยเชียงใหม่</t>
  </si>
  <si>
    <t>ร้อยละ 25 จำนวน 25,000 บาท นับตั้งแต่โครงการวิจัยผ่านการอนุมัติรายงานความก้าวหน้ารอบ 6 เดือน</t>
  </si>
  <si>
    <t>R000031966</t>
  </si>
  <si>
    <t>ความสัมพันธ์ของการรับรู้ตามแบบแผนความเชื่อด้านสุขภาพกับการเข้ารับการคัดกรองมะเร็งปากมดลูกในสตรีไทยที่อาศัยอยู่ในเขตพื้นที่ติดชายแดนไทย-เมียนมาร์: กรณีศึกษา อาเภอปาย จังหวัดแม่ฮ่องสอน</t>
  </si>
  <si>
    <t>ปทุมรัตน์    ศรีพันธุ์</t>
  </si>
  <si>
    <t>นักวิจัยรุ่นใหม่ 65- ดร.ปทุมรัตน์</t>
  </si>
  <si>
    <t>17/02/2023</t>
  </si>
  <si>
    <t>Invoice 11/2022 (October-November 2022)</t>
  </si>
  <si>
    <t>21/02/2023</t>
  </si>
  <si>
    <t>PF A5332 Jan2023 + Admin Supp จำนวน $12,938.00 @34.31</t>
  </si>
  <si>
    <t>27/02/2023</t>
  </si>
  <si>
    <t>R000030240</t>
  </si>
  <si>
    <t>นวัตกรรมผลิตภัณฑ์เบเกอรี่ GI ต่ำ จากแป้งกล้วยน้ำว้า</t>
  </si>
  <si>
    <t xml:space="preserve">คงศักดิ์  บุญยะประณัย   </t>
  </si>
  <si>
    <t>GI-แป้งกล้วยน้ำว้า</t>
  </si>
  <si>
    <t xml:space="preserve">อุทยานวิทยาศาสตร์และเทคโนโลยี มหาวิทยาลัยเชียงใหม่ (CMU STeP) </t>
  </si>
  <si>
    <t xml:space="preserve">งวดที่ 3  ร้อยละ 10 (สิบ) เป็นจำนวน 148,500 บาท </t>
  </si>
  <si>
    <t>R000031123</t>
  </si>
  <si>
    <t>V116-007: การศึกษาวิจัยระยะที่ 3 ชนิดสุ่ม แบบปกปิดกลุ่มการวิจัยทั้งสองฝ่าย ในศูนย์วิจัยหลายแห่ง ที่ควบคุมโดยยาเปรียบเทียบที่ออกฤทธิ์ เพื่อประเมินความปลอดภัย ความทนต่อยา และความสามารถในการกระตุ้นให้เกิดภูมิคุ้มกันของวัคซีน วี116 ในผู้ใหญ่ที่ติดเชื้อเอชไอวี</t>
  </si>
  <si>
    <t>V116-007</t>
  </si>
  <si>
    <t>Merck Sharp &amp; Dohme Corp., a subsidiary of Merck</t>
  </si>
  <si>
    <t>Inv. V116-007/2023/01</t>
  </si>
  <si>
    <t>R000031275</t>
  </si>
  <si>
    <t>การพัฒนาผลิตภัณฑ์ผงชงดื่มผสมโปรตีนสกัดจากจิ้งหรีดสำหรับเสริมสุขภาพผู้สูงอายุ</t>
  </si>
  <si>
    <t>จิ้งหรีด</t>
  </si>
  <si>
    <t>งวดที่ 3</t>
  </si>
  <si>
    <t>28/02/2023</t>
  </si>
  <si>
    <t>นันทิสา    โชติรสนิรมิต</t>
  </si>
  <si>
    <t>invoice 27 (February 2023)</t>
  </si>
  <si>
    <t>2/03/2023</t>
  </si>
  <si>
    <t>R000027975</t>
  </si>
  <si>
    <t>พัฒนาระบบบริการบำบัดผู้มีปัญหาเสพติดสารกลุ่ม Opiates/Opioids(ฝิ่น/เฮโรอีน ฯลฯ) แบบ Opioid Substitution Treatment (OST) ด้วยยาอมใต้ลิ้น Buprenorphine/Naloxone combination</t>
  </si>
  <si>
    <t>อภินันท์ อร่ามรัตน์</t>
  </si>
  <si>
    <t>STAR 2021-2023</t>
  </si>
  <si>
    <t>กองบริหารการสาธารณสุข (กบรส.)</t>
  </si>
  <si>
    <t>งวดที่ 2 - กรบส</t>
  </si>
  <si>
    <t>รายเดือน</t>
  </si>
  <si>
    <t>%Funding</t>
  </si>
  <si>
    <t>CMU fund</t>
  </si>
  <si>
    <t>Item</t>
  </si>
  <si>
    <t>Department</t>
  </si>
  <si>
    <t>2563</t>
  </si>
  <si>
    <t>2564</t>
  </si>
  <si>
    <t>รายได้ทางคลินิก</t>
  </si>
  <si>
    <t>คลินิกครอบครัว</t>
  </si>
  <si>
    <t>ไม่มีรายได้อื่นๆ</t>
  </si>
  <si>
    <t>คลินิกรักษ์สุขภาพ</t>
  </si>
  <si>
    <t>คลินิกพิมาน</t>
  </si>
  <si>
    <t>รายได้ทางห้องปฏิบัติการ</t>
  </si>
  <si>
    <r>
      <t>ห้องปฏิบัติการพิษวิทยา (</t>
    </r>
    <r>
      <rPr>
        <sz val="14"/>
        <rFont val="TH SarabunPSK"/>
        <family val="2"/>
      </rPr>
      <t>EHU)</t>
    </r>
  </si>
  <si>
    <t>ศูนย์บริการวิจัยและทดสอบทางโภชนาการ (NUTRI)</t>
  </si>
  <si>
    <t>ศูนย์วิจัยชีวโมเลกุลและเซลล์วิทยา (CMBID)</t>
  </si>
  <si>
    <t>ตรวจติดล้อ (Real-Time RT PCR)</t>
  </si>
  <si>
    <t>RSO</t>
  </si>
  <si>
    <t>Antigen test kit (ATK)</t>
  </si>
  <si>
    <t>หน่วยจัดการสิ่งส่งตรวจ (SPU)</t>
  </si>
  <si>
    <t>ห้องปฏิบัติการทางคลินิก (CL)</t>
  </si>
  <si>
    <t>รายได้จากหลักสูตร</t>
  </si>
  <si>
    <t>หลักสูตรการวิจัยทางวิทยาศาสตร์สุขภาพ</t>
  </si>
  <si>
    <t>SHSR</t>
  </si>
  <si>
    <t>รายได้จากบริหารอื่นๆ</t>
  </si>
  <si>
    <t>หน่วยบริหารจัดการข้อมูลวิจัย (DMU)</t>
  </si>
  <si>
    <t>รวมทั้งหมด</t>
  </si>
  <si>
    <t>Clinic</t>
  </si>
  <si>
    <t>Lab</t>
  </si>
  <si>
    <t>Edu</t>
  </si>
  <si>
    <t>Etc</t>
  </si>
  <si>
    <t>%Income</t>
  </si>
  <si>
    <t>Update 05032563</t>
  </si>
  <si>
    <t>Count of Name</t>
  </si>
  <si>
    <t>Average of h-index</t>
  </si>
  <si>
    <t>Sum of ม.ค.</t>
  </si>
  <si>
    <t>Sum of ก.พ.</t>
  </si>
  <si>
    <t>Sum of มี.ค.</t>
  </si>
  <si>
    <t>%First/Corresponding</t>
  </si>
  <si>
    <t>%</t>
  </si>
  <si>
    <t>Etc.</t>
  </si>
  <si>
    <t>CBMID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</si>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</sst>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1"/>
      <color theme="1"/>
      <name val="TH SarabunPSK"/>
      <family val="2"/>
    </font>
    <font>
      <sz val="11"/>
      <color theme="0"/>
      <name val="TH Niramit AS"/>
    </font>
    <font>
      <b/>
      <sz val="14"/>
      <color theme="0"/>
      <name val="TH Niramit AS"/>
    </font>
    <font>
      <sz val="11"/>
      <color theme="1"/>
      <name val="TH Niramit AS"/>
    </font>
    <font>
      <b/>
      <sz val="36"/>
      <color theme="0"/>
      <name val="TH Niramit AS"/>
    </font>
    <font>
      <b/>
      <sz val="11"/>
      <color theme="1"/>
      <name val="TH SarabunPSK"/>
      <family val="2"/>
    </font>
    <font>
      <sz val="11"/>
      <color rgb="FF000000"/>
      <name val="TH SarabunPSK"/>
      <family val="2"/>
    </font>
    <font>
      <b/>
      <sz val="36"/>
      <color theme="1"/>
      <name val="TH Niramit AS"/>
    </font>
    <font>
      <b/>
      <sz val="14"/>
      <color theme="1"/>
      <name val="TH Niramit AS"/>
    </font>
    <font>
      <sz val="16"/>
      <name val="TH Sarabun New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70C0"/>
      <name val="TH SarabunPSK"/>
      <family val="2"/>
    </font>
    <font>
      <b/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Niramit AS"/>
    </font>
    <font>
      <b/>
      <sz val="36"/>
      <color theme="8" tint="-0.249977111117893"/>
      <name val="TH Niramit AS"/>
    </font>
    <font>
      <b/>
      <sz val="36"/>
      <color rgb="FFCC99FF"/>
      <name val="TH Niramit AS"/>
    </font>
    <font>
      <b/>
      <sz val="36"/>
      <color rgb="FFFF9900"/>
      <name val="TH Niramit AS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997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readingOrder="1"/>
    </xf>
    <xf numFmtId="0" fontId="3" fillId="0" borderId="1" xfId="0" applyFont="1" applyBorder="1" applyAlignment="1">
      <alignment horizontal="left" vertical="top"/>
    </xf>
    <xf numFmtId="0" fontId="4" fillId="6" borderId="0" xfId="0" applyFont="1" applyFill="1"/>
    <xf numFmtId="0" fontId="0" fillId="6" borderId="0" xfId="0" applyFill="1"/>
    <xf numFmtId="0" fontId="6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0" xfId="0" applyNumberFormat="1"/>
    <xf numFmtId="0" fontId="15" fillId="0" borderId="0" xfId="0" applyFont="1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horizontal="center"/>
    </xf>
    <xf numFmtId="4" fontId="0" fillId="0" borderId="0" xfId="0" applyNumberFormat="1"/>
    <xf numFmtId="43" fontId="17" fillId="0" borderId="1" xfId="1" applyFont="1" applyBorder="1" applyAlignment="1">
      <alignment horizontal="center"/>
    </xf>
    <xf numFmtId="49" fontId="17" fillId="4" borderId="1" xfId="0" applyNumberFormat="1" applyFont="1" applyFill="1" applyBorder="1" applyAlignment="1">
      <alignment horizontal="left" vertical="center"/>
    </xf>
    <xf numFmtId="43" fontId="17" fillId="4" borderId="1" xfId="1" applyFont="1" applyFill="1" applyBorder="1" applyAlignment="1">
      <alignment horizontal="left" vertical="center"/>
    </xf>
    <xf numFmtId="43" fontId="18" fillId="4" borderId="1" xfId="1" applyFont="1" applyFill="1" applyBorder="1"/>
    <xf numFmtId="49" fontId="18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43" fontId="19" fillId="0" borderId="1" xfId="1" applyFont="1" applyFill="1" applyBorder="1"/>
    <xf numFmtId="43" fontId="18" fillId="0" borderId="1" xfId="1" applyFont="1" applyBorder="1"/>
    <xf numFmtId="43" fontId="18" fillId="0" borderId="1" xfId="1" applyFont="1" applyFill="1" applyBorder="1"/>
    <xf numFmtId="49" fontId="20" fillId="4" borderId="1" xfId="0" applyNumberFormat="1" applyFont="1" applyFill="1" applyBorder="1"/>
    <xf numFmtId="43" fontId="20" fillId="4" borderId="1" xfId="1" applyFont="1" applyFill="1" applyBorder="1"/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43" fontId="21" fillId="0" borderId="1" xfId="1" applyFont="1" applyFill="1" applyBorder="1" applyAlignment="1"/>
    <xf numFmtId="49" fontId="18" fillId="0" borderId="1" xfId="0" applyNumberFormat="1" applyFont="1" applyBorder="1"/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/>
    <xf numFmtId="0" fontId="20" fillId="4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43" fontId="0" fillId="7" borderId="1" xfId="1" applyFont="1" applyFill="1" applyBorder="1"/>
    <xf numFmtId="43" fontId="0" fillId="0" borderId="0" xfId="0" applyNumberFormat="1"/>
    <xf numFmtId="0" fontId="0" fillId="0" borderId="1" xfId="0" applyBorder="1"/>
    <xf numFmtId="43" fontId="17" fillId="0" borderId="1" xfId="1" applyFont="1" applyFill="1" applyBorder="1" applyAlignment="1">
      <alignment horizontal="center"/>
    </xf>
    <xf numFmtId="43" fontId="0" fillId="0" borderId="1" xfId="0" applyNumberFormat="1" applyBorder="1"/>
    <xf numFmtId="9" fontId="22" fillId="6" borderId="0" xfId="2" applyFont="1" applyFill="1" applyAlignment="1">
      <alignment horizontal="left" indent="2"/>
    </xf>
    <xf numFmtId="0" fontId="6" fillId="6" borderId="0" xfId="0" applyFont="1" applyFill="1"/>
    <xf numFmtId="164" fontId="0" fillId="0" borderId="0" xfId="0" applyNumberFormat="1"/>
    <xf numFmtId="1" fontId="0" fillId="0" borderId="0" xfId="0" applyNumberFormat="1"/>
    <xf numFmtId="166" fontId="0" fillId="0" borderId="0" xfId="0" applyNumberFormat="1"/>
    <xf numFmtId="0" fontId="4" fillId="8" borderId="0" xfId="0" applyFont="1" applyFill="1"/>
    <xf numFmtId="0" fontId="0" fillId="8" borderId="0" xfId="0" applyFill="1"/>
    <xf numFmtId="9" fontId="22" fillId="8" borderId="0" xfId="2" applyFont="1" applyFill="1" applyAlignment="1">
      <alignment horizontal="left" indent="2"/>
    </xf>
    <xf numFmtId="0" fontId="6" fillId="8" borderId="0" xfId="0" applyFont="1" applyFill="1"/>
    <xf numFmtId="0" fontId="4" fillId="9" borderId="0" xfId="0" applyFont="1" applyFill="1"/>
    <xf numFmtId="0" fontId="0" fillId="9" borderId="0" xfId="0" applyFill="1"/>
    <xf numFmtId="9" fontId="22" fillId="9" borderId="0" xfId="2" applyFont="1" applyFill="1" applyAlignment="1">
      <alignment horizontal="left" indent="2"/>
    </xf>
    <xf numFmtId="0" fontId="6" fillId="9" borderId="0" xfId="0" applyFont="1" applyFill="1"/>
    <xf numFmtId="0" fontId="4" fillId="10" borderId="0" xfId="0" applyFont="1" applyFill="1"/>
    <xf numFmtId="0" fontId="0" fillId="10" borderId="0" xfId="0" applyFill="1"/>
    <xf numFmtId="9" fontId="22" fillId="10" borderId="0" xfId="2" applyFont="1" applyFill="1" applyAlignment="1">
      <alignment horizontal="left" indent="2"/>
    </xf>
    <xf numFmtId="0" fontId="6" fillId="10" borderId="0" xfId="0" applyFont="1" applyFill="1"/>
    <xf numFmtId="0" fontId="10" fillId="6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6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left" vertical="center"/>
    </xf>
    <xf numFmtId="164" fontId="7" fillId="6" borderId="0" xfId="0" applyNumberFormat="1" applyFont="1" applyFill="1" applyAlignment="1">
      <alignment horizontal="right" vertical="center"/>
    </xf>
    <xf numFmtId="165" fontId="7" fillId="6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top"/>
    </xf>
    <xf numFmtId="0" fontId="7" fillId="6" borderId="0" xfId="0" applyFont="1" applyFill="1" applyAlignment="1">
      <alignment horizontal="right" vertical="center"/>
    </xf>
    <xf numFmtId="9" fontId="22" fillId="6" borderId="0" xfId="2" applyFont="1" applyFill="1" applyAlignment="1">
      <alignment horizontal="left" indent="2"/>
    </xf>
    <xf numFmtId="0" fontId="14" fillId="2" borderId="0" xfId="0" applyFont="1" applyFill="1" applyAlignment="1">
      <alignment horizontal="right"/>
    </xf>
    <xf numFmtId="0" fontId="5" fillId="6" borderId="0" xfId="0" applyFont="1" applyFill="1" applyAlignment="1">
      <alignment horizontal="center"/>
    </xf>
    <xf numFmtId="2" fontId="7" fillId="6" borderId="0" xfId="0" applyNumberFormat="1" applyFont="1" applyFill="1" applyAlignment="1">
      <alignment horizontal="right" vertical="center"/>
    </xf>
    <xf numFmtId="165" fontId="7" fillId="8" borderId="0" xfId="0" applyNumberFormat="1" applyFont="1" applyFill="1" applyAlignment="1">
      <alignment horizontal="right" vertical="center"/>
    </xf>
    <xf numFmtId="0" fontId="10" fillId="8" borderId="0" xfId="0" applyFont="1" applyFill="1" applyAlignment="1">
      <alignment horizontal="left" vertical="center"/>
    </xf>
    <xf numFmtId="164" fontId="10" fillId="8" borderId="0" xfId="0" applyNumberFormat="1" applyFont="1" applyFill="1" applyAlignment="1">
      <alignment horizontal="left" vertical="center"/>
    </xf>
    <xf numFmtId="9" fontId="22" fillId="8" borderId="0" xfId="2" applyFont="1" applyFill="1" applyAlignment="1">
      <alignment horizontal="left" indent="2"/>
    </xf>
    <xf numFmtId="0" fontId="5" fillId="8" borderId="0" xfId="0" applyFont="1" applyFill="1" applyAlignment="1">
      <alignment horizontal="center"/>
    </xf>
    <xf numFmtId="164" fontId="7" fillId="8" borderId="0" xfId="0" applyNumberFormat="1" applyFont="1" applyFill="1" applyAlignment="1">
      <alignment horizontal="right" vertical="center"/>
    </xf>
    <xf numFmtId="0" fontId="7" fillId="8" borderId="0" xfId="0" applyFont="1" applyFill="1" applyAlignment="1">
      <alignment horizontal="right" vertical="center"/>
    </xf>
    <xf numFmtId="2" fontId="7" fillId="8" borderId="0" xfId="0" applyNumberFormat="1" applyFont="1" applyFill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1" fontId="7" fillId="8" borderId="0" xfId="0" applyNumberFormat="1" applyFont="1" applyFill="1" applyAlignment="1">
      <alignment horizontal="right" vertical="center"/>
    </xf>
    <xf numFmtId="1" fontId="10" fillId="8" borderId="0" xfId="0" applyNumberFormat="1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left" vertical="center"/>
    </xf>
    <xf numFmtId="164" fontId="7" fillId="10" borderId="0" xfId="0" applyNumberFormat="1" applyFont="1" applyFill="1" applyAlignment="1">
      <alignment horizontal="right" vertical="center"/>
    </xf>
    <xf numFmtId="9" fontId="22" fillId="10" borderId="0" xfId="2" applyFont="1" applyFill="1" applyAlignment="1">
      <alignment horizontal="left" indent="2"/>
    </xf>
    <xf numFmtId="165" fontId="7" fillId="10" borderId="0" xfId="0" applyNumberFormat="1" applyFont="1" applyFill="1" applyAlignment="1">
      <alignment horizontal="right" vertical="center"/>
    </xf>
    <xf numFmtId="164" fontId="10" fillId="10" borderId="0" xfId="0" applyNumberFormat="1" applyFont="1" applyFill="1" applyAlignment="1">
      <alignment horizontal="left" vertical="center"/>
    </xf>
    <xf numFmtId="0" fontId="11" fillId="10" borderId="0" xfId="0" applyFont="1" applyFill="1" applyAlignment="1">
      <alignment horizontal="center"/>
    </xf>
    <xf numFmtId="2" fontId="7" fillId="10" borderId="0" xfId="0" applyNumberFormat="1" applyFont="1" applyFill="1" applyAlignment="1">
      <alignment horizontal="right" vertical="center"/>
    </xf>
    <xf numFmtId="1" fontId="7" fillId="10" borderId="0" xfId="0" applyNumberFormat="1" applyFont="1" applyFill="1" applyAlignment="1">
      <alignment horizontal="right" vertical="center"/>
    </xf>
    <xf numFmtId="1" fontId="10" fillId="10" borderId="0" xfId="0" applyNumberFormat="1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right" vertical="center"/>
    </xf>
    <xf numFmtId="0" fontId="10" fillId="9" borderId="0" xfId="0" applyFont="1" applyFill="1" applyAlignment="1">
      <alignment horizontal="left" vertical="center"/>
    </xf>
    <xf numFmtId="164" fontId="7" fillId="9" borderId="0" xfId="0" applyNumberFormat="1" applyFont="1" applyFill="1" applyAlignment="1">
      <alignment horizontal="right" vertical="center"/>
    </xf>
    <xf numFmtId="9" fontId="22" fillId="9" borderId="0" xfId="2" applyFont="1" applyFill="1" applyAlignment="1">
      <alignment horizontal="left" indent="2"/>
    </xf>
    <xf numFmtId="165" fontId="7" fillId="9" borderId="0" xfId="0" applyNumberFormat="1" applyFont="1" applyFill="1" applyAlignment="1">
      <alignment horizontal="right" vertical="center"/>
    </xf>
    <xf numFmtId="164" fontId="10" fillId="9" borderId="0" xfId="0" applyNumberFormat="1" applyFont="1" applyFill="1" applyAlignment="1">
      <alignment horizontal="left" vertical="center"/>
    </xf>
    <xf numFmtId="0" fontId="5" fillId="9" borderId="0" xfId="0" applyFont="1" applyFill="1" applyAlignment="1">
      <alignment horizontal="center"/>
    </xf>
    <xf numFmtId="2" fontId="7" fillId="9" borderId="0" xfId="0" applyNumberFormat="1" applyFont="1" applyFill="1" applyAlignment="1">
      <alignment horizontal="right" vertical="center"/>
    </xf>
    <xf numFmtId="1" fontId="7" fillId="9" borderId="0" xfId="0" applyNumberFormat="1" applyFont="1" applyFill="1" applyAlignment="1">
      <alignment horizontal="right" vertical="center"/>
    </xf>
    <xf numFmtId="1" fontId="10" fillId="9" borderId="0" xfId="0" applyNumberFormat="1" applyFont="1" applyFill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49" fontId="17" fillId="0" borderId="2" xfId="1" applyNumberFormat="1" applyFont="1" applyBorder="1" applyAlignment="1">
      <alignment horizontal="center"/>
    </xf>
    <xf numFmtId="49" fontId="17" fillId="0" borderId="3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5" xfId="1" applyNumberFormat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5">
    <dxf>
      <numFmt numFmtId="164" formatCode="0.0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</dxfs>
  <tableStyles count="0" defaultTableStyle="TableStyleMedium2" defaultPivotStyle="PivotStyleLight16"/>
  <colors>
    <mruColors>
      <color rgb="FFFF9900"/>
      <color rgb="FFFF6600"/>
      <color rgb="FFFF5050"/>
      <color rgb="FFCC99FF"/>
      <color rgb="FF009977"/>
      <color rgb="FF00C89D"/>
      <color rgb="FF53FFDA"/>
      <color rgb="FFCC66FF"/>
      <color rgb="FF00EEBB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Pub</a:t>
            </a:r>
            <a:r>
              <a:rPr lang="en-US" sz="2800" baseline="0">
                <a:solidFill>
                  <a:schemeClr val="bg1"/>
                </a:solidFill>
              </a:rPr>
              <a:t> in SCOPUS</a:t>
            </a:r>
            <a:endParaRPr lang="en-US" sz="28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57835559617547805"/>
          <c:y val="2.2803808982049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63807649043863E-2"/>
          <c:y val="0.24867182947982686"/>
          <c:w val="0.86605619610048745"/>
          <c:h val="0.55305649998772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ผลงานตีพิมพ์!$B$28</c:f>
              <c:strCache>
                <c:ptCount val="1"/>
                <c:pt idx="0">
                  <c:v>รายเดือน</c:v>
                </c:pt>
              </c:strCache>
            </c:strRef>
          </c:tx>
          <c:spPr>
            <a:solidFill>
              <a:srgbClr val="009977"/>
            </a:solidFill>
            <a:ln w="19050">
              <a:solidFill>
                <a:schemeClr val="bg1"/>
              </a:solidFill>
            </a:ln>
            <a:effectLst/>
          </c:spPr>
          <c:invertIfNegative val="0"/>
          <c:cat>
            <c:strRef>
              <c:f>ผลงานตีพิมพ์!$C$27:$N$27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ผลงานตีพิมพ์!$C$28:$N$28</c:f>
              <c:numCache>
                <c:formatCode>General</c:formatCode>
                <c:ptCount val="1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4-48C8-8E30-5A373BEFA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5939104"/>
        <c:axId val="445947424"/>
      </c:barChart>
      <c:lineChart>
        <c:grouping val="standard"/>
        <c:varyColors val="0"/>
        <c:ser>
          <c:idx val="1"/>
          <c:order val="1"/>
          <c:tx>
            <c:strRef>
              <c:f>ผลงานตีพิมพ์!$B$29</c:f>
              <c:strCache>
                <c:ptCount val="1"/>
                <c:pt idx="0">
                  <c:v>สะสม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ผลงานตีพิมพ์!$C$27:$N$27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ผลงานตีพิมพ์!$C$29:$N$29</c:f>
              <c:numCache>
                <c:formatCode>General</c:formatCode>
                <c:ptCount val="12"/>
                <c:pt idx="0">
                  <c:v>7</c:v>
                </c:pt>
                <c:pt idx="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64-48C8-8E30-5A373BEFA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939104"/>
        <c:axId val="445947424"/>
      </c:lineChart>
      <c:catAx>
        <c:axId val="4459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47424"/>
        <c:crosses val="autoZero"/>
        <c:auto val="1"/>
        <c:lblAlgn val="ctr"/>
        <c:lblOffset val="100"/>
        <c:noMultiLvlLbl val="0"/>
      </c:catAx>
      <c:valAx>
        <c:axId val="445947424"/>
        <c:scaling>
          <c:orientation val="minMax"/>
          <c:max val="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391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06191413573304"/>
          <c:y val="0.44230679075872809"/>
          <c:w val="0.265625"/>
          <c:h val="0.323124833964732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RIHES!$M$3</c:f>
              <c:numCache>
                <c:formatCode>0.0</c:formatCode>
                <c:ptCount val="1"/>
                <c:pt idx="0">
                  <c:v>17.513434380000003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E-4003-91BD-F900B3E4826C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RIHES!$O$3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E-4003-91BD-F900B3E48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RIHES!$Q$3</c:f>
              <c:numCache>
                <c:formatCode>0.0</c:formatCode>
                <c:ptCount val="1"/>
                <c:pt idx="0">
                  <c:v>4.3956868600000005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2-4649-B77E-62472C8770B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42-4649-B77E-62472C8770B9}"/>
              </c:ext>
            </c:extLst>
          </c:dPt>
          <c:val>
            <c:numRef>
              <c:f>RIHES!$S$3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2-4649-B77E-62472C87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RIHES!$U$3</c:f>
              <c:numCache>
                <c:formatCode>_(* #,##0.0_);_(* \(#,##0.0\);_(* "-"??_);_(@_)</c:formatCode>
                <c:ptCount val="1"/>
                <c:pt idx="0">
                  <c:v>0.926315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B-4BDE-A776-86FE9E90C113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RIHES!$W$3</c:f>
              <c:numCache>
                <c:formatCode>0.0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B-4BDE-A776-86FE9E90C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7153907844852725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86614173228344E-2"/>
          <c:y val="0.2029251968503937"/>
          <c:w val="0.59186096529600463"/>
          <c:h val="0.71023315835520562"/>
        </c:manualLayout>
      </c:layout>
      <c:doughnutChart>
        <c:varyColors val="1"/>
        <c:ser>
          <c:idx val="0"/>
          <c:order val="0"/>
          <c:tx>
            <c:strRef>
              <c:f>รายได้!$R$2</c:f>
              <c:strCache>
                <c:ptCount val="1"/>
                <c:pt idx="0">
                  <c:v> %Income </c:v>
                </c:pt>
              </c:strCache>
            </c:strRef>
          </c:tx>
          <c:spPr>
            <a:ln w="38100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rgbClr val="009977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4-27C5-48E5-84A7-EA7537218BB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27C5-48E5-84A7-EA7537218BB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4CC7-4280-ABC4-4DDA4A3A47F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7-4CC7-4280-ABC4-4DDA4A3A47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(รายได้!$S$3,รายได้!$S$7,รายได้!$S$15,รายได้!$S$17)</c:f>
              <c:strCache>
                <c:ptCount val="4"/>
                <c:pt idx="0">
                  <c:v>Clinic</c:v>
                </c:pt>
                <c:pt idx="1">
                  <c:v>Lab</c:v>
                </c:pt>
                <c:pt idx="2">
                  <c:v>Edu</c:v>
                </c:pt>
                <c:pt idx="3">
                  <c:v>Etc</c:v>
                </c:pt>
              </c:strCache>
            </c:strRef>
          </c:cat>
          <c:val>
            <c:numRef>
              <c:f>(รายได้!$R$3,รายได้!$R$7,รายได้!$R$15,รายได้!$R$17)</c:f>
              <c:numCache>
                <c:formatCode>_(* #,##0.00_);_(* \(#,##0.00\);_(* "-"??_);_(@_)</c:formatCode>
                <c:ptCount val="4"/>
                <c:pt idx="0">
                  <c:v>135215</c:v>
                </c:pt>
                <c:pt idx="1">
                  <c:v>395550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5-48E5-84A7-EA7537218B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28821002219055"/>
          <c:y val="0.2058605355787119"/>
          <c:w val="0.2794935951540542"/>
          <c:h val="0.6926831945507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Pub</a:t>
            </a:r>
            <a:r>
              <a:rPr lang="en-US" sz="2800" baseline="0">
                <a:solidFill>
                  <a:schemeClr val="bg1"/>
                </a:solidFill>
              </a:rPr>
              <a:t> in SCOPUS</a:t>
            </a:r>
            <a:endParaRPr lang="en-US" sz="28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57835559617547805"/>
          <c:y val="2.2803808982049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63807649043863E-2"/>
          <c:y val="0.24867182947982686"/>
          <c:w val="0.86605619610048745"/>
          <c:h val="0.55305649998772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ผลงานตีพิมพ์!$B$36</c:f>
              <c:strCache>
                <c:ptCount val="1"/>
                <c:pt idx="0">
                  <c:v>IDSU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905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ผลงานตีพิมพ์!$C$27:$N$27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ผลงานตีพิมพ์!$C$36:$N$36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9-4FD2-9EC8-DAFC12C09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5939104"/>
        <c:axId val="445947424"/>
      </c:barChart>
      <c:catAx>
        <c:axId val="4459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47424"/>
        <c:crosses val="autoZero"/>
        <c:auto val="1"/>
        <c:lblAlgn val="ctr"/>
        <c:lblOffset val="100"/>
        <c:noMultiLvlLbl val="0"/>
      </c:catAx>
      <c:valAx>
        <c:axId val="445947424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391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5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/>
              <a:t>%Quartile</a:t>
            </a:r>
          </a:p>
        </c:rich>
      </c:tx>
      <c:layout>
        <c:manualLayout>
          <c:xMode val="edge"/>
          <c:yMode val="edge"/>
          <c:x val="0.53502942063555337"/>
          <c:y val="1.144563150545519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219270373521097E-2"/>
          <c:y val="0.22992670838526022"/>
          <c:w val="0.55829060066324365"/>
          <c:h val="0.67667529224782352"/>
        </c:manualLayout>
      </c:layout>
      <c:doughnutChart>
        <c:varyColors val="1"/>
        <c:ser>
          <c:idx val="0"/>
          <c:order val="0"/>
          <c:tx>
            <c:strRef>
              <c:f>ผลงานตีพิมพ์!$C$46:$E$46</c:f>
              <c:strCache>
                <c:ptCount val="3"/>
                <c:pt idx="0">
                  <c:v>6</c:v>
                </c:pt>
                <c:pt idx="1">
                  <c:v>2</c:v>
                </c:pt>
                <c:pt idx="2">
                  <c:v>1</c:v>
                </c:pt>
              </c:strCache>
            </c:strRef>
          </c:tx>
          <c:spPr>
            <a:ln w="19050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602E-4017-B263-03F713AD306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602E-4017-B263-03F713AD306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602E-4017-B263-03F713AD30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ผลงานตีพิมพ์!$C$45:$E$45</c:f>
              <c:strCache>
                <c:ptCount val="3"/>
                <c:pt idx="0">
                  <c:v>Q1</c:v>
                </c:pt>
                <c:pt idx="1">
                  <c:v>Q2</c:v>
                </c:pt>
                <c:pt idx="2">
                  <c:v>Q3</c:v>
                </c:pt>
              </c:strCache>
            </c:strRef>
          </c:cat>
          <c:val>
            <c:numRef>
              <c:f>ผลงานตีพิมพ์!$C$46:$E$46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E-4017-B263-03F713AD3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40040514917866"/>
          <c:y val="0.30071343664846367"/>
          <c:w val="0.19992899296760086"/>
          <c:h val="0.5046456391378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5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/>
              <a:t>%FUNDING</a:t>
            </a:r>
          </a:p>
        </c:rich>
      </c:tx>
      <c:layout>
        <c:manualLayout>
          <c:xMode val="edge"/>
          <c:yMode val="edge"/>
          <c:x val="0.56596344946081045"/>
          <c:y val="5.890325566665198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53906730461397E-2"/>
          <c:y val="0.2192203789044728"/>
          <c:w val="0.56938402416551981"/>
          <c:h val="0.69163023483864117"/>
        </c:manualLayout>
      </c:layout>
      <c:doughnutChart>
        <c:varyColors val="1"/>
        <c:ser>
          <c:idx val="0"/>
          <c:order val="0"/>
          <c:tx>
            <c:strRef>
              <c:f>Sheet7!$C$3</c:f>
              <c:strCache>
                <c:ptCount val="1"/>
                <c:pt idx="0">
                  <c:v>MB</c:v>
                </c:pt>
              </c:strCache>
            </c:strRef>
          </c:tx>
          <c:spPr>
            <a:ln w="19050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4316-4A76-A89E-C8965E115AE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4316-4A76-A89E-C8965E115A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4316-4A76-A89E-C8965E115AE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16-4A76-A89E-C8965E115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Sheet7!$D$5:$D$7</c:f>
              <c:strCache>
                <c:ptCount val="3"/>
                <c:pt idx="0">
                  <c:v>Thai fund</c:v>
                </c:pt>
                <c:pt idx="1">
                  <c:v>Int. fund</c:v>
                </c:pt>
                <c:pt idx="2">
                  <c:v>CMU fund</c:v>
                </c:pt>
              </c:strCache>
            </c:strRef>
          </c:cat>
          <c:val>
            <c:numRef>
              <c:f>Sheet7!$C$5:$C$7</c:f>
              <c:numCache>
                <c:formatCode>0.00</c:formatCode>
                <c:ptCount val="3"/>
                <c:pt idx="0">
                  <c:v>1.87218686</c:v>
                </c:pt>
                <c:pt idx="1">
                  <c:v>17.194504700000003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16-4A76-A89E-C8965E115A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86353736572062"/>
          <c:y val="0.32191729233287691"/>
          <c:w val="0.40413646263427938"/>
          <c:h val="0.43201278563475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Total fund (MB)</a:t>
            </a:r>
          </a:p>
        </c:rich>
      </c:tx>
      <c:layout>
        <c:manualLayout>
          <c:xMode val="edge"/>
          <c:yMode val="edge"/>
          <c:x val="0.55456870669185498"/>
          <c:y val="1.1495146547066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1473599583838"/>
          <c:y val="0.26832308734865862"/>
          <c:w val="0.8565954931309262"/>
          <c:h val="0.5353730703960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Sheet8!$A$20</c:f>
              <c:strCache>
                <c:ptCount val="1"/>
                <c:pt idx="0">
                  <c:v>IDSU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905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Sheet8!$F$19:$Q$19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Sheet8!$F$20:$Q$20</c:f>
              <c:numCache>
                <c:formatCode>0.00</c:formatCode>
                <c:ptCount val="12"/>
                <c:pt idx="0">
                  <c:v>2.4094265499999996</c:v>
                </c:pt>
                <c:pt idx="1">
                  <c:v>15.44485815</c:v>
                </c:pt>
                <c:pt idx="2">
                  <c:v>1.2374068600000001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6-4133-9D83-CA530893C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16848287"/>
        <c:axId val="1616867839"/>
      </c:barChart>
      <c:catAx>
        <c:axId val="161684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67839"/>
        <c:crosses val="autoZero"/>
        <c:auto val="1"/>
        <c:lblAlgn val="ctr"/>
        <c:lblOffset val="100"/>
        <c:noMultiLvlLbl val="0"/>
      </c:catAx>
      <c:valAx>
        <c:axId val="1616867839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4828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RIHES!$E$3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6-48D7-B90E-B37B14F42E72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RIHES!$G$3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6-48D7-B90E-B37B14F42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RIHES!$E$8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8-4B99-A982-27B90C912DAC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RIHES!$G$8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8-4B99-A982-27B90C912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chemeClr val="accent5">
            <a:lumMod val="7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2608887430737827"/>
          <c:y val="1.1445756780402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219270373521097E-2"/>
          <c:y val="0.22992670838526022"/>
          <c:w val="0.55829060066324365"/>
          <c:h val="0.67667529224782352"/>
        </c:manualLayout>
      </c:layout>
      <c:doughnutChart>
        <c:varyColors val="1"/>
        <c:ser>
          <c:idx val="0"/>
          <c:order val="0"/>
          <c:tx>
            <c:strRef>
              <c:f>Sheet8!$C$3</c:f>
              <c:strCache>
                <c:ptCount val="1"/>
                <c:pt idx="0">
                  <c:v>%Quartile</c:v>
                </c:pt>
              </c:strCache>
            </c:strRef>
          </c:tx>
          <c:spPr>
            <a:ln w="38100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rgbClr val="009977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9EF3-4E63-AF17-645355B77DF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4-9EF3-4E63-AF17-645355B77DF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9EF3-4E63-AF17-645355B77D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Sheet8!$D$4:$D$6</c:f>
              <c:strCache>
                <c:ptCount val="3"/>
                <c:pt idx="0">
                  <c:v>Q1</c:v>
                </c:pt>
                <c:pt idx="1">
                  <c:v>Q2</c:v>
                </c:pt>
                <c:pt idx="2">
                  <c:v>Q3</c:v>
                </c:pt>
              </c:strCache>
            </c:strRef>
          </c:cat>
          <c:val>
            <c:numRef>
              <c:f>Sheet8!$C$4:$C$6</c:f>
              <c:numCache>
                <c:formatCode>General</c:formatCode>
                <c:ptCount val="3"/>
                <c:pt idx="0">
                  <c:v>80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F3-4E63-AF17-645355B77D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40040514917866"/>
          <c:y val="0.30071343664846367"/>
          <c:w val="0.19992899296760086"/>
          <c:h val="0.5046456391378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RIHES!$E$13</c:f>
              <c:numCache>
                <c:formatCode>0.00</c:formatCode>
                <c:ptCount val="1"/>
                <c:pt idx="0">
                  <c:v>0.64516129032258063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B-43D0-9B36-1E034ECA39FE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RIHES!$G$13</c:f>
              <c:numCache>
                <c:formatCode>General</c:formatCode>
                <c:ptCount val="1"/>
                <c:pt idx="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B-43D0-9B36-1E034ECA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chemeClr val="accent5">
            <a:lumMod val="7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275872283485E-2"/>
          <c:y val="3.404128391195127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RIHES!$E$23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3-40C7-A427-CFD7E5BA40BA}"/>
            </c:ext>
          </c:extLst>
        </c:ser>
        <c:ser>
          <c:idx val="1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3-40C7-A427-CFD7E5BA4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RIHES!$I$3</c:f>
              <c:numCache>
                <c:formatCode>0.0</c:formatCode>
                <c:ptCount val="1"/>
                <c:pt idx="0">
                  <c:v>21.959121240000002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7-4D61-93F6-F1287C32F476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RIHES!$K$3</c:f>
              <c:numCache>
                <c:formatCode>General</c:formatCode>
                <c:ptCount val="1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7-4D61-93F6-F1287C32F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RIHES!$M$3</c:f>
              <c:numCache>
                <c:formatCode>0.0</c:formatCode>
                <c:ptCount val="1"/>
                <c:pt idx="0">
                  <c:v>17.513434380000003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CB7-8DD2-C2864CFD4A96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RIHES!$O$3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CB7-8DD2-C2864CFD4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RIHES!$Q$3</c:f>
              <c:numCache>
                <c:formatCode>0.0</c:formatCode>
                <c:ptCount val="1"/>
                <c:pt idx="0">
                  <c:v>4.3956868600000005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A-408E-B482-D59A483926A7}"/>
            </c:ext>
          </c:extLst>
        </c:ser>
        <c:ser>
          <c:idx val="1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E9A-408E-B482-D59A483926A7}"/>
              </c:ext>
            </c:extLst>
          </c:dPt>
          <c:val>
            <c:numRef>
              <c:f>RIHES!$S$3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A-408E-B482-D59A48392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RIHES!$U$3</c:f>
              <c:numCache>
                <c:formatCode>_(* #,##0.0_);_(* \(#,##0.0\);_(* "-"??_);_(@_)</c:formatCode>
                <c:ptCount val="1"/>
                <c:pt idx="0">
                  <c:v>0.926315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E-4D4B-B13A-8CC7C73BDB4E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RIHES!$W$3</c:f>
              <c:numCache>
                <c:formatCode>0.0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E-4D4B-B13A-8CC7C73BD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7153907844852725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86614173228344E-2"/>
          <c:y val="0.2029251968503937"/>
          <c:w val="0.59186096529600463"/>
          <c:h val="0.71023315835520562"/>
        </c:manualLayout>
      </c:layout>
      <c:doughnutChart>
        <c:varyColors val="1"/>
        <c:ser>
          <c:idx val="0"/>
          <c:order val="0"/>
          <c:tx>
            <c:strRef>
              <c:f>รายได้!$R$2</c:f>
              <c:strCache>
                <c:ptCount val="1"/>
                <c:pt idx="0">
                  <c:v> %Income </c:v>
                </c:pt>
              </c:strCache>
            </c:strRef>
          </c:tx>
          <c:spPr>
            <a:ln w="19050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2728-47DE-AB87-65B93854916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2728-47DE-AB87-65B93854916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2728-47DE-AB87-65B93854916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7-2728-47DE-AB87-65B938549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รายได้!$B$24:$E$24</c:f>
              <c:strCache>
                <c:ptCount val="4"/>
                <c:pt idx="0">
                  <c:v>Clinic</c:v>
                </c:pt>
                <c:pt idx="1">
                  <c:v>Lab</c:v>
                </c:pt>
                <c:pt idx="2">
                  <c:v>Edu</c:v>
                </c:pt>
                <c:pt idx="3">
                  <c:v>Etc.</c:v>
                </c:pt>
              </c:strCache>
            </c:strRef>
          </c:cat>
          <c:val>
            <c:numRef>
              <c:f>รายได้!$B$25:$E$25</c:f>
              <c:numCache>
                <c:formatCode>General</c:formatCode>
                <c:ptCount val="4"/>
                <c:pt idx="0" formatCode="_(* #,##0.00_);_(* \(#,##0.00\);_(* &quot;-&quot;??_);_(@_)">
                  <c:v>0.135215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28-47DE-AB87-65B93854916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28821002219055"/>
          <c:y val="0.2058605355787119"/>
          <c:w val="0.2794935951540542"/>
          <c:h val="0.6926831945507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Pub</a:t>
            </a:r>
            <a:r>
              <a:rPr lang="en-US" sz="2800" baseline="0">
                <a:solidFill>
                  <a:schemeClr val="bg1"/>
                </a:solidFill>
              </a:rPr>
              <a:t> in SCOPUS</a:t>
            </a:r>
            <a:endParaRPr lang="en-US" sz="28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57835559617547805"/>
          <c:y val="2.2803808982049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63807649043863E-2"/>
          <c:y val="0.24867182947982686"/>
          <c:w val="0.86605619610048745"/>
          <c:h val="0.55305649998772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ผลงานตีพิมพ์!$B$37</c:f>
              <c:strCache>
                <c:ptCount val="1"/>
                <c:pt idx="0">
                  <c:v>CMBID</c:v>
                </c:pt>
              </c:strCache>
            </c:strRef>
          </c:tx>
          <c:spPr>
            <a:solidFill>
              <a:srgbClr val="FF9900"/>
            </a:solidFill>
            <a:ln w="1905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ผลงานตีพิมพ์!$C$27:$N$27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ผลงานตีพิมพ์!$C$37:$N$37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1-48F4-BF97-5A6FCF03B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5939104"/>
        <c:axId val="445947424"/>
      </c:barChart>
      <c:catAx>
        <c:axId val="4459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47424"/>
        <c:crosses val="autoZero"/>
        <c:auto val="1"/>
        <c:lblAlgn val="ctr"/>
        <c:lblOffset val="100"/>
        <c:noMultiLvlLbl val="0"/>
      </c:catAx>
      <c:valAx>
        <c:axId val="445947424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391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5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/>
              <a:t>%Quartile</a:t>
            </a:r>
          </a:p>
        </c:rich>
      </c:tx>
      <c:layout>
        <c:manualLayout>
          <c:xMode val="edge"/>
          <c:yMode val="edge"/>
          <c:x val="0.53502942063555337"/>
          <c:y val="1.144563150545519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219270373521097E-2"/>
          <c:y val="0.22992670838526022"/>
          <c:w val="0.55829060066324365"/>
          <c:h val="0.67667529224782352"/>
        </c:manualLayout>
      </c:layout>
      <c:doughnutChart>
        <c:varyColors val="1"/>
        <c:ser>
          <c:idx val="0"/>
          <c:order val="0"/>
          <c:tx>
            <c:strRef>
              <c:f>ผลงานตีพิมพ์!$B$47</c:f>
              <c:strCache>
                <c:ptCount val="1"/>
                <c:pt idx="0">
                  <c:v>CMBID</c:v>
                </c:pt>
              </c:strCache>
            </c:strRef>
          </c:tx>
          <c:spPr>
            <a:ln w="19050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0DAC-43A8-A85D-1BBE4C4F38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0DAC-43A8-A85D-1BBE4C4F38F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0DAC-43A8-A85D-1BBE4C4F38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ผลงานตีพิมพ์!$C$45:$E$45</c:f>
              <c:strCache>
                <c:ptCount val="3"/>
                <c:pt idx="0">
                  <c:v>Q1</c:v>
                </c:pt>
                <c:pt idx="1">
                  <c:v>Q2</c:v>
                </c:pt>
                <c:pt idx="2">
                  <c:v>Q3</c:v>
                </c:pt>
              </c:strCache>
            </c:strRef>
          </c:cat>
          <c:val>
            <c:numRef>
              <c:f>ผลงานตีพิมพ์!$C$47:$E$47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C-43A8-A85D-1BBE4C4F38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40040514917866"/>
          <c:y val="0.30071343664846367"/>
          <c:w val="0.19992899296760086"/>
          <c:h val="0.5046456391378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5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/>
              <a:t>%FUNDING</a:t>
            </a:r>
          </a:p>
        </c:rich>
      </c:tx>
      <c:layout>
        <c:manualLayout>
          <c:xMode val="edge"/>
          <c:yMode val="edge"/>
          <c:x val="0.56596344946081045"/>
          <c:y val="5.89032556666519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8196419999332568E-2"/>
          <c:y val="0.24363561954560192"/>
          <c:w val="0.56938402416551981"/>
          <c:h val="0.69163023483864117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9586353736572062"/>
          <c:y val="0.32191729233287691"/>
          <c:w val="0.40413646263427938"/>
          <c:h val="0.43201278563475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5561124149174934"/>
          <c:y val="5.8902012248468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53906730461397E-2"/>
          <c:y val="0.2192203789044728"/>
          <c:w val="0.56938402416551981"/>
          <c:h val="0.69163023483864117"/>
        </c:manualLayout>
      </c:layout>
      <c:doughnutChart>
        <c:varyColors val="1"/>
        <c:ser>
          <c:idx val="0"/>
          <c:order val="0"/>
          <c:tx>
            <c:strRef>
              <c:f>Sheet7!$C$15</c:f>
              <c:strCache>
                <c:ptCount val="1"/>
                <c:pt idx="0">
                  <c:v>%Funding</c:v>
                </c:pt>
              </c:strCache>
            </c:strRef>
          </c:tx>
          <c:spPr>
            <a:ln w="38100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rgbClr val="009977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903D-44B8-82FF-94BEA4050AF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2-903D-44B8-82FF-94BEA4050AF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381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B70C-454E-9DBE-ED8072CCB8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Sheet7!$D$16:$D$18</c:f>
              <c:strCache>
                <c:ptCount val="3"/>
                <c:pt idx="0">
                  <c:v>Thai fund</c:v>
                </c:pt>
                <c:pt idx="1">
                  <c:v>Int. fund</c:v>
                </c:pt>
                <c:pt idx="2">
                  <c:v>CMU fund</c:v>
                </c:pt>
              </c:strCache>
            </c:strRef>
          </c:cat>
          <c:val>
            <c:numRef>
              <c:f>Sheet7!$C$16:$C$18</c:f>
              <c:numCache>
                <c:formatCode>0.00</c:formatCode>
                <c:ptCount val="3"/>
                <c:pt idx="0">
                  <c:v>4.3956868600000005</c:v>
                </c:pt>
                <c:pt idx="1">
                  <c:v>17.513434380000003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D-44B8-82FF-94BEA4050A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86353736572062"/>
          <c:y val="0.32191729233287691"/>
          <c:w val="0.40413646263427938"/>
          <c:h val="0.43201278563475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Total fund (MB)</a:t>
            </a:r>
          </a:p>
        </c:rich>
      </c:tx>
      <c:layout>
        <c:manualLayout>
          <c:xMode val="edge"/>
          <c:yMode val="edge"/>
          <c:x val="0.55456870669185498"/>
          <c:y val="1.1495146547066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1473599583838"/>
          <c:y val="0.26832308734865862"/>
          <c:w val="0.8565954931309262"/>
          <c:h val="0.5353730703960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Sheet8!$A$22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Sheet8!$F$19:$Q$19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Sheet8!$F$22:$Q$22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B67-4756-B6EA-62A745B7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16848287"/>
        <c:axId val="1616867839"/>
      </c:barChart>
      <c:catAx>
        <c:axId val="161684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67839"/>
        <c:crosses val="autoZero"/>
        <c:auto val="1"/>
        <c:lblAlgn val="ctr"/>
        <c:lblOffset val="100"/>
        <c:noMultiLvlLbl val="0"/>
      </c:catAx>
      <c:valAx>
        <c:axId val="1616867839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4828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/>
          </c:spPr>
          <c:invertIfNegative val="0"/>
          <c:val>
            <c:numRef>
              <c:f>CMBID!$E$3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9-4AAE-9673-79AFCCE7BA25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CMBID!$G$3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9-4AAE-9673-79AFCCE7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/>
          </c:spPr>
          <c:invertIfNegative val="0"/>
          <c:val>
            <c:numRef>
              <c:f>CMBID!$E$8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9-4AF3-9EB2-16BBA86D2382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CMBID!$G$8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9-4AF3-9EB2-16BBA86D2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rgbClr val="FF9900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/>
          </c:spPr>
          <c:invertIfNegative val="0"/>
          <c:val>
            <c:numRef>
              <c:f>CMBID!$E$13</c:f>
              <c:numCache>
                <c:formatCode>0.00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D-4F6E-ACB6-88651F995459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CMBID!$G$13</c:f>
              <c:numCache>
                <c:formatCode>General</c:formatCode>
                <c:ptCount val="1"/>
                <c:pt idx="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D-4F6E-ACB6-88651F99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rgbClr val="FF9900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275872283485E-2"/>
          <c:y val="3.404128391195127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RIHES!$E$23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4-45AB-92C0-37BF93EDB7F7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4-45AB-92C0-37BF93ED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RIHES!$I$3</c:f>
              <c:numCache>
                <c:formatCode>0.0</c:formatCode>
                <c:ptCount val="1"/>
                <c:pt idx="0">
                  <c:v>21.959121240000002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4-44A0-B4AC-A7117FA81098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RIHES!$K$3</c:f>
              <c:numCache>
                <c:formatCode>General</c:formatCode>
                <c:ptCount val="1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4-44A0-B4AC-A7117FA81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rgbClr val="FF9900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RIHES!$M$3</c:f>
              <c:numCache>
                <c:formatCode>0.0</c:formatCode>
                <c:ptCount val="1"/>
                <c:pt idx="0">
                  <c:v>17.513434380000003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B-4571-92D3-08B6B244D2EE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RIHES!$O$3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B-4571-92D3-08B6B244D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RIHES!$Q$3</c:f>
              <c:numCache>
                <c:formatCode>0.0</c:formatCode>
                <c:ptCount val="1"/>
                <c:pt idx="0">
                  <c:v>4.3956868600000005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F-4D5B-93E3-1146098786FF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07F-4D5B-93E3-1146098786FF}"/>
              </c:ext>
            </c:extLst>
          </c:dPt>
          <c:val>
            <c:numRef>
              <c:f>RIHES!$S$3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7F-4D5B-93E3-114609878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rgbClr val="FF9900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CMBID!$U$3</c:f>
              <c:numCache>
                <c:formatCode>_(* #,##0.0_);_(* \(#,##0.0\);_(* "-"??_);_(@_)</c:formatCode>
                <c:ptCount val="1"/>
                <c:pt idx="0">
                  <c:v>2.97E-3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2-4C30-B739-B67351540B83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CMBID!$W$3</c:f>
              <c:numCache>
                <c:formatCode>0.0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2-4C30-B739-B67351540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990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7153907844852725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86614173228344E-2"/>
          <c:y val="0.2029251968503937"/>
          <c:w val="0.59186096529600463"/>
          <c:h val="0.71023315835520562"/>
        </c:manualLayout>
      </c:layout>
      <c:doughnutChart>
        <c:varyColors val="1"/>
        <c:ser>
          <c:idx val="0"/>
          <c:order val="0"/>
          <c:tx>
            <c:strRef>
              <c:f>รายได้!$R$2</c:f>
              <c:strCache>
                <c:ptCount val="1"/>
                <c:pt idx="0">
                  <c:v> %Income 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827-4E0B-B064-4732F642280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D827-4E0B-B064-4732F642280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827-4E0B-B064-4732F642280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7-4E0B-B064-4732F64228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รายได้!$B$24:$E$24</c:f>
              <c:strCache>
                <c:ptCount val="4"/>
                <c:pt idx="0">
                  <c:v>Clinic</c:v>
                </c:pt>
                <c:pt idx="1">
                  <c:v>Lab</c:v>
                </c:pt>
                <c:pt idx="2">
                  <c:v>Edu</c:v>
                </c:pt>
                <c:pt idx="3">
                  <c:v>Etc.</c:v>
                </c:pt>
              </c:strCache>
            </c:strRef>
          </c:cat>
          <c:val>
            <c:numRef>
              <c:f>รายได้!$B$26:$E$26</c:f>
              <c:numCache>
                <c:formatCode>_(* #,##0.00_);_(* \(#,##0.00\);_(* "-"??_);_(@_)</c:formatCode>
                <c:ptCount val="4"/>
                <c:pt idx="0" formatCode="General">
                  <c:v>0</c:v>
                </c:pt>
                <c:pt idx="1">
                  <c:v>2.97E-3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27-4E0B-B064-4732F64228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28821002219055"/>
          <c:y val="0.2058605355787119"/>
          <c:w val="0.2794935951540542"/>
          <c:h val="0.6926831945507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Total fund (MB)</a:t>
            </a:r>
          </a:p>
        </c:rich>
      </c:tx>
      <c:layout>
        <c:manualLayout>
          <c:xMode val="edge"/>
          <c:yMode val="edge"/>
          <c:x val="0.55456870669185498"/>
          <c:y val="1.1495146547066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1473599583838"/>
          <c:y val="0.26832308734865862"/>
          <c:w val="0.8565954931309262"/>
          <c:h val="0.5353730703960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ทุนวิจัย!$D$33</c:f>
              <c:strCache>
                <c:ptCount val="1"/>
                <c:pt idx="0">
                  <c:v>รายเดือน</c:v>
                </c:pt>
              </c:strCache>
            </c:strRef>
          </c:tx>
          <c:spPr>
            <a:solidFill>
              <a:srgbClr val="009977"/>
            </a:solidFill>
            <a:ln w="19050">
              <a:solidFill>
                <a:schemeClr val="bg1"/>
              </a:solidFill>
            </a:ln>
            <a:effectLst/>
          </c:spPr>
          <c:invertIfNegative val="0"/>
          <c:cat>
            <c:strRef>
              <c:f>ทุนวิจัย!$G$32:$R$32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ทุนวิจัย!$G$33:$R$33</c:f>
              <c:numCache>
                <c:formatCode>#,##0.00</c:formatCode>
                <c:ptCount val="12"/>
                <c:pt idx="0">
                  <c:v>4.7283562300000002</c:v>
                </c:pt>
                <c:pt idx="1">
                  <c:v>15.993358150000001</c:v>
                </c:pt>
                <c:pt idx="2">
                  <c:v>1.2374068600000001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2-4DA6-99A7-55B14D28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16848287"/>
        <c:axId val="1616867839"/>
      </c:barChart>
      <c:lineChart>
        <c:grouping val="standard"/>
        <c:varyColors val="0"/>
        <c:ser>
          <c:idx val="1"/>
          <c:order val="1"/>
          <c:tx>
            <c:strRef>
              <c:f>ทุนวิจัย!$D$34</c:f>
              <c:strCache>
                <c:ptCount val="1"/>
                <c:pt idx="0">
                  <c:v>สะสม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ทุนวิจัย!$G$32:$R$32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ทุนวิจัย!$G$34:$I$34</c:f>
              <c:numCache>
                <c:formatCode>#,##0.00</c:formatCode>
                <c:ptCount val="3"/>
                <c:pt idx="0">
                  <c:v>4.7283562300000002</c:v>
                </c:pt>
                <c:pt idx="1">
                  <c:v>20.721714380000002</c:v>
                </c:pt>
                <c:pt idx="2">
                  <c:v>21.959121240000002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02-4DA6-99A7-55B14D28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848287"/>
        <c:axId val="1616867839"/>
      </c:lineChart>
      <c:catAx>
        <c:axId val="161684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67839"/>
        <c:crosses val="autoZero"/>
        <c:auto val="1"/>
        <c:lblAlgn val="ctr"/>
        <c:lblOffset val="100"/>
        <c:noMultiLvlLbl val="0"/>
      </c:catAx>
      <c:valAx>
        <c:axId val="1616867839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4828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3963963963964"/>
          <c:y val="0.46489215966672959"/>
          <c:w val="0.23282097649186259"/>
          <c:h val="0.28357331063471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Pub</a:t>
            </a:r>
            <a:r>
              <a:rPr lang="en-US" sz="2800" baseline="0">
                <a:solidFill>
                  <a:schemeClr val="bg1"/>
                </a:solidFill>
              </a:rPr>
              <a:t> in SCOPUS</a:t>
            </a:r>
            <a:endParaRPr lang="en-US" sz="28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57835559617547805"/>
          <c:y val="2.2803808982049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63807649043863E-2"/>
          <c:y val="0.24867182947982686"/>
          <c:w val="0.86605619610048745"/>
          <c:h val="0.55305649998772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ผลงานตีพิมพ์!$B$38</c:f>
              <c:strCache>
                <c:ptCount val="1"/>
                <c:pt idx="0">
                  <c:v>NINE</c:v>
                </c:pt>
              </c:strCache>
            </c:strRef>
          </c:tx>
          <c:spPr>
            <a:solidFill>
              <a:srgbClr val="CC99FF"/>
            </a:solidFill>
            <a:ln w="1905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ผลงานตีพิมพ์!$C$35:$N$35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ผลงานตีพิมพ์!$C$38:$N$38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7B5-AD0C-67C70300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5939104"/>
        <c:axId val="445947424"/>
      </c:barChart>
      <c:catAx>
        <c:axId val="4459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47424"/>
        <c:crosses val="autoZero"/>
        <c:auto val="1"/>
        <c:lblAlgn val="ctr"/>
        <c:lblOffset val="100"/>
        <c:noMultiLvlLbl val="0"/>
      </c:catAx>
      <c:valAx>
        <c:axId val="445947424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4459391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5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/>
              <a:t>%Quartile</a:t>
            </a:r>
          </a:p>
        </c:rich>
      </c:tx>
      <c:layout>
        <c:manualLayout>
          <c:xMode val="edge"/>
          <c:yMode val="edge"/>
          <c:x val="0.53502942063555337"/>
          <c:y val="1.144563150545519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219270373521097E-2"/>
          <c:y val="0.22992670838526022"/>
          <c:w val="0.55829060066324365"/>
          <c:h val="0.67667529224782352"/>
        </c:manualLayout>
      </c:layout>
      <c:doughnutChart>
        <c:varyColors val="1"/>
        <c:ser>
          <c:idx val="0"/>
          <c:order val="0"/>
          <c:tx>
            <c:strRef>
              <c:f>ผลงานตีพิมพ์!$B$48</c:f>
              <c:strCache>
                <c:ptCount val="1"/>
                <c:pt idx="0">
                  <c:v>NINE</c:v>
                </c:pt>
              </c:strCache>
            </c:strRef>
          </c:tx>
          <c:spPr>
            <a:ln w="19050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rgbClr val="CC99FF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1E28-46F7-B3AF-B93068B59A2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1E28-46F7-B3AF-B93068B59A23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1E28-46F7-B3AF-B93068B59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ผลงานตีพิมพ์!$C$45:$E$45</c:f>
              <c:strCache>
                <c:ptCount val="3"/>
                <c:pt idx="0">
                  <c:v>Q1</c:v>
                </c:pt>
                <c:pt idx="1">
                  <c:v>Q2</c:v>
                </c:pt>
                <c:pt idx="2">
                  <c:v>Q3</c:v>
                </c:pt>
              </c:strCache>
            </c:strRef>
          </c:cat>
          <c:val>
            <c:numRef>
              <c:f>ผลงานตีพิมพ์!$C$48:$E$48</c:f>
              <c:numCache>
                <c:formatCode>General</c:formatCode>
                <c:ptCount val="3"/>
                <c:pt idx="0">
                  <c:v>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28-46F7-B3AF-B93068B59A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40040514917866"/>
          <c:y val="0.30071343664846367"/>
          <c:w val="0.19992899296760086"/>
          <c:h val="0.5046456391378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5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/>
              <a:t>%FUNDING</a:t>
            </a:r>
          </a:p>
        </c:rich>
      </c:tx>
      <c:layout>
        <c:manualLayout>
          <c:xMode val="edge"/>
          <c:yMode val="edge"/>
          <c:x val="0.56596344946081045"/>
          <c:y val="5.890325566665198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53906730461397E-2"/>
          <c:y val="0.2192203789044728"/>
          <c:w val="0.56938402416551981"/>
          <c:h val="0.69163023483864117"/>
        </c:manualLayout>
      </c:layout>
      <c:doughnutChart>
        <c:varyColors val="1"/>
        <c:ser>
          <c:idx val="0"/>
          <c:order val="0"/>
          <c:tx>
            <c:strRef>
              <c:f>Sheet7!$C$3</c:f>
              <c:strCache>
                <c:ptCount val="1"/>
                <c:pt idx="0">
                  <c:v>MB</c:v>
                </c:pt>
              </c:strCache>
            </c:strRef>
          </c:tx>
          <c:spPr>
            <a:ln w="19050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rgbClr val="CC99FF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A162-4350-8207-C1629242CBB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A162-4350-8207-C1629242CBB7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A162-4350-8207-C1629242CBB7}"/>
              </c:ext>
            </c:extLst>
          </c:dPt>
          <c:dLbls>
            <c:dLbl>
              <c:idx val="2"/>
              <c:layout>
                <c:manualLayout>
                  <c:x val="3.2547280508132936E-2"/>
                  <c:y val="1.09886449227052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2-4350-8207-C1629242C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Sheet7!$D$9:$D$11</c:f>
              <c:strCache>
                <c:ptCount val="3"/>
                <c:pt idx="0">
                  <c:v>Thai fund</c:v>
                </c:pt>
                <c:pt idx="1">
                  <c:v>Int. fund</c:v>
                </c:pt>
                <c:pt idx="2">
                  <c:v>CMU fund</c:v>
                </c:pt>
              </c:strCache>
            </c:strRef>
          </c:cat>
          <c:val>
            <c:numRef>
              <c:f>Sheet7!$C$9:$C$11</c:f>
              <c:numCache>
                <c:formatCode>0.00</c:formatCode>
                <c:ptCount val="3"/>
                <c:pt idx="0">
                  <c:v>2.5234999999999999</c:v>
                </c:pt>
                <c:pt idx="1">
                  <c:v>0.31892967999999999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62-4350-8207-C1629242CBB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86353736572062"/>
          <c:y val="0.32191729233287691"/>
          <c:w val="0.40413646263427938"/>
          <c:h val="0.43201278563475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en-US" sz="2800">
                <a:solidFill>
                  <a:schemeClr val="bg1"/>
                </a:solidFill>
              </a:rPr>
              <a:t>Total fund (MB)</a:t>
            </a:r>
          </a:p>
        </c:rich>
      </c:tx>
      <c:layout>
        <c:manualLayout>
          <c:xMode val="edge"/>
          <c:yMode val="edge"/>
          <c:x val="0.55456870669185498"/>
          <c:y val="1.1495146547066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1473599583838"/>
          <c:y val="0.26832308734865862"/>
          <c:w val="0.8565954931309262"/>
          <c:h val="0.5353730703960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Sheet8!$A$21</c:f>
              <c:strCache>
                <c:ptCount val="1"/>
                <c:pt idx="0">
                  <c:v>NINE</c:v>
                </c:pt>
              </c:strCache>
            </c:strRef>
          </c:tx>
          <c:spPr>
            <a:solidFill>
              <a:srgbClr val="CC99FF"/>
            </a:solidFill>
            <a:ln w="1905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Sheet8!$F$19:$Q$19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Sheet8!$F$21:$Q$21</c:f>
              <c:numCache>
                <c:formatCode>0.00</c:formatCode>
                <c:ptCount val="12"/>
                <c:pt idx="0">
                  <c:v>2.3189296799999997</c:v>
                </c:pt>
                <c:pt idx="1">
                  <c:v>0.54849999999999999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7-4A55-AF2B-C23E832DC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16848287"/>
        <c:axId val="1616867839"/>
      </c:barChart>
      <c:catAx>
        <c:axId val="161684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67839"/>
        <c:crosses val="autoZero"/>
        <c:auto val="1"/>
        <c:lblAlgn val="ctr"/>
        <c:lblOffset val="100"/>
        <c:noMultiLvlLbl val="0"/>
      </c:catAx>
      <c:valAx>
        <c:axId val="1616867839"/>
        <c:scaling>
          <c:orientation val="minMax"/>
          <c:max val="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9050"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16848287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NINE!$E$3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1-44CC-B368-CE4FF302B3A5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NINE!$G$3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4CC-B368-CE4FF302B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NINE!$E$8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C-4019-953D-0ED16BC07814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NINE!$G$8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C-4019-953D-0ED16BC07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rgbClr val="CC99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NINE!$E$13</c:f>
              <c:numCache>
                <c:formatCode>0.00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7-45DA-9348-13CB5A244ADF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NINE!$G$13</c:f>
              <c:numCache>
                <c:formatCode>General</c:formatCode>
                <c:ptCount val="1"/>
                <c:pt idx="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7-45DA-9348-13CB5A24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rgbClr val="CC99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275872283485E-2"/>
          <c:y val="3.404128391195127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RIHES!$E$23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3-441B-99B3-93E1212EC123}"/>
            </c:ext>
          </c:extLst>
        </c:ser>
        <c:ser>
          <c:idx val="1"/>
          <c:order val="1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RIHES!$G$23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3-441B-99B3-93E1212EC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solidFill>
          <a:srgbClr val="CC99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NINE!$I$3</c:f>
              <c:numCache>
                <c:formatCode>0.0</c:formatCode>
                <c:ptCount val="1"/>
                <c:pt idx="0">
                  <c:v>2.8674296800000003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7-4C1C-9506-CD2BE5D0FBC2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NINE!$K$3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7-4C1C-9506-CD2BE5D0F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NINE!$M$3</c:f>
              <c:numCache>
                <c:formatCode>0.0</c:formatCode>
                <c:ptCount val="1"/>
                <c:pt idx="0">
                  <c:v>0.31892967999999999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6-4994-AF24-04B788448E2D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NINE!$O$3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6-4994-AF24-04B78844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RIHES!$E$3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3-45A5-8D64-4C2418674ACD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RIHES!$G$3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E3-45A5-8D64-4C241867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NINE!$Q$3</c:f>
              <c:numCache>
                <c:formatCode>0.0</c:formatCode>
                <c:ptCount val="1"/>
                <c:pt idx="0">
                  <c:v>2.5234999999999999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9-4221-B457-EF2EF0426331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09-4221-B457-EF2EF0426331}"/>
              </c:ext>
            </c:extLst>
          </c:dPt>
          <c:val>
            <c:numRef>
              <c:f>NINE!$S$3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9-4221-B457-EF2EF0426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NINE!$U$3</c:f>
              <c:numCache>
                <c:formatCode>_(* #,##0.0_);_(* \(#,##0.0\);_(* "-"??_);_(@_)</c:formatCode>
                <c:ptCount val="1"/>
                <c:pt idx="0">
                  <c:v>0.26334999999999997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0-4040-8803-EC43C8B901C0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NINE!$W$3</c:f>
              <c:numCache>
                <c:formatCode>0.0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0-4040-8803-EC43C8B9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9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7153907844852725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86614173228344E-2"/>
          <c:y val="0.2029251968503937"/>
          <c:w val="0.59186096529600463"/>
          <c:h val="0.71023315835520562"/>
        </c:manualLayout>
      </c:layout>
      <c:doughnutChart>
        <c:varyColors val="1"/>
        <c:ser>
          <c:idx val="0"/>
          <c:order val="0"/>
          <c:tx>
            <c:strRef>
              <c:f>รายได้!$R$2</c:f>
              <c:strCache>
                <c:ptCount val="1"/>
                <c:pt idx="0">
                  <c:v> %Income </c:v>
                </c:pt>
              </c:strCache>
            </c:strRef>
          </c:tx>
          <c:spPr>
            <a:ln w="19050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E7CA-4AE5-AAB7-270BF2E0DE5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E7CA-4AE5-AAB7-270BF2E0DE5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E7CA-4AE5-AAB7-270BF2E0DE5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7-E7CA-4AE5-AAB7-270BF2E0DE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รายได้!$B$24:$E$24</c:f>
              <c:strCache>
                <c:ptCount val="4"/>
                <c:pt idx="0">
                  <c:v>Clinic</c:v>
                </c:pt>
                <c:pt idx="1">
                  <c:v>Lab</c:v>
                </c:pt>
                <c:pt idx="2">
                  <c:v>Edu</c:v>
                </c:pt>
                <c:pt idx="3">
                  <c:v>Etc.</c:v>
                </c:pt>
              </c:strCache>
            </c:strRef>
          </c:cat>
          <c:val>
            <c:numRef>
              <c:f>รายได้!$B$27:$E$27</c:f>
              <c:numCache>
                <c:formatCode>_(* #,##0.00_);_(* \(#,##0.00\);_(* "-"??_);_(@_)</c:formatCode>
                <c:ptCount val="4"/>
                <c:pt idx="0" formatCode="General">
                  <c:v>0</c:v>
                </c:pt>
                <c:pt idx="1">
                  <c:v>0.26334999999999997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CA-4AE5-AAB7-270BF2E0DE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28821002219055"/>
          <c:y val="0.2058605355787119"/>
          <c:w val="0.2794935951540542"/>
          <c:h val="0.6926831945507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RIHES!$E$8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F-4C54-8CA7-7A89A6E1328E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RIHES!$G$8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F-4C54-8CA7-7A89A6E13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RIHES!$E$13</c:f>
              <c:numCache>
                <c:formatCode>0.00</c:formatCode>
                <c:ptCount val="1"/>
                <c:pt idx="0">
                  <c:v>0.64516129032258063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0-4550-AF1B-B19B1A6B27E3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RIHES!$G$13</c:f>
              <c:numCache>
                <c:formatCode>General</c:formatCode>
                <c:ptCount val="1"/>
                <c:pt idx="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0-4550-AF1B-B19B1A6B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275872283485E-2"/>
          <c:y val="3.404128391195127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RIHES!$E$23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2-4715-BD42-1EB1AEE69D68}"/>
            </c:ext>
          </c:extLst>
        </c:ser>
        <c:ser>
          <c:idx val="1"/>
          <c:order val="1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2-4715-BD42-1EB1AEE6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4042568400097568E-2"/>
          <c:w val="0.93888888888888888"/>
          <c:h val="0.95460990879986996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C89D"/>
            </a:solidFill>
            <a:ln>
              <a:noFill/>
            </a:ln>
            <a:effectLst/>
          </c:spPr>
          <c:invertIfNegative val="0"/>
          <c:val>
            <c:numRef>
              <c:f>RIHES!$I$3</c:f>
              <c:numCache>
                <c:formatCode>0.0</c:formatCode>
                <c:ptCount val="1"/>
                <c:pt idx="0">
                  <c:v>21.959121240000002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7-445B-AA16-5F06E7A8F2A0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RIHES!$K$3</c:f>
              <c:numCache>
                <c:formatCode>General</c:formatCode>
                <c:ptCount val="1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7-445B-AA16-5F06E7A8F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22256015"/>
        <c:axId val="1822251263"/>
      </c:barChart>
      <c:catAx>
        <c:axId val="1822256015"/>
        <c:scaling>
          <c:orientation val="minMax"/>
        </c:scaling>
        <c:delete val="1"/>
        <c:axPos val="l"/>
        <c:majorTickMark val="none"/>
        <c:minorTickMark val="none"/>
        <c:tickLblPos val="nextTo"/>
        <c:crossAx val="1822251263"/>
        <c:crosses val="autoZero"/>
        <c:auto val="1"/>
        <c:lblAlgn val="ctr"/>
        <c:lblOffset val="100"/>
        <c:noMultiLvlLbl val="0"/>
      </c:catAx>
      <c:valAx>
        <c:axId val="182225126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2225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9977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svg"/><Relationship Id="rId18" Type="http://schemas.openxmlformats.org/officeDocument/2006/relationships/image" Target="../media/image18.png"/><Relationship Id="rId26" Type="http://schemas.openxmlformats.org/officeDocument/2006/relationships/chart" Target="../charts/chart7.xml"/><Relationship Id="rId3" Type="http://schemas.openxmlformats.org/officeDocument/2006/relationships/image" Target="../media/image3.svg"/><Relationship Id="rId21" Type="http://schemas.openxmlformats.org/officeDocument/2006/relationships/chart" Target="../charts/chart2.xml"/><Relationship Id="rId7" Type="http://schemas.openxmlformats.org/officeDocument/2006/relationships/image" Target="../media/image7.svg"/><Relationship Id="rId12" Type="http://schemas.openxmlformats.org/officeDocument/2006/relationships/image" Target="../media/image12.png"/><Relationship Id="rId17" Type="http://schemas.openxmlformats.org/officeDocument/2006/relationships/image" Target="../media/image17.svg"/><Relationship Id="rId25" Type="http://schemas.openxmlformats.org/officeDocument/2006/relationships/chart" Target="../charts/chart6.xml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chart" Target="../charts/chart1.xml"/><Relationship Id="rId29" Type="http://schemas.openxmlformats.org/officeDocument/2006/relationships/chart" Target="../charts/chart10.xm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24" Type="http://schemas.openxmlformats.org/officeDocument/2006/relationships/chart" Target="../charts/chart5.xml"/><Relationship Id="rId32" Type="http://schemas.openxmlformats.org/officeDocument/2006/relationships/chart" Target="../charts/chart13.xml"/><Relationship Id="rId5" Type="http://schemas.openxmlformats.org/officeDocument/2006/relationships/image" Target="../media/image5.svg"/><Relationship Id="rId15" Type="http://schemas.openxmlformats.org/officeDocument/2006/relationships/image" Target="../media/image15.svg"/><Relationship Id="rId23" Type="http://schemas.openxmlformats.org/officeDocument/2006/relationships/chart" Target="../charts/chart4.xml"/><Relationship Id="rId28" Type="http://schemas.openxmlformats.org/officeDocument/2006/relationships/chart" Target="../charts/chart9.xml"/><Relationship Id="rId10" Type="http://schemas.openxmlformats.org/officeDocument/2006/relationships/image" Target="../media/image10.png"/><Relationship Id="rId19" Type="http://schemas.openxmlformats.org/officeDocument/2006/relationships/image" Target="../media/image19.svg"/><Relationship Id="rId31" Type="http://schemas.openxmlformats.org/officeDocument/2006/relationships/chart" Target="../charts/chart12.xml"/><Relationship Id="rId4" Type="http://schemas.openxmlformats.org/officeDocument/2006/relationships/image" Target="../media/image4.png"/><Relationship Id="rId9" Type="http://schemas.openxmlformats.org/officeDocument/2006/relationships/image" Target="../media/image9.svg"/><Relationship Id="rId14" Type="http://schemas.openxmlformats.org/officeDocument/2006/relationships/image" Target="../media/image14.png"/><Relationship Id="rId22" Type="http://schemas.openxmlformats.org/officeDocument/2006/relationships/chart" Target="../charts/chart3.xml"/><Relationship Id="rId27" Type="http://schemas.openxmlformats.org/officeDocument/2006/relationships/chart" Target="../charts/chart8.xml"/><Relationship Id="rId30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18" Type="http://schemas.openxmlformats.org/officeDocument/2006/relationships/image" Target="../media/image22.png"/><Relationship Id="rId26" Type="http://schemas.openxmlformats.org/officeDocument/2006/relationships/image" Target="../media/image30.png"/><Relationship Id="rId3" Type="http://schemas.openxmlformats.org/officeDocument/2006/relationships/chart" Target="../charts/chart16.xml"/><Relationship Id="rId21" Type="http://schemas.openxmlformats.org/officeDocument/2006/relationships/image" Target="../media/image25.svg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17" Type="http://schemas.openxmlformats.org/officeDocument/2006/relationships/image" Target="../media/image21.svg"/><Relationship Id="rId25" Type="http://schemas.openxmlformats.org/officeDocument/2006/relationships/image" Target="../media/image29.svg"/><Relationship Id="rId2" Type="http://schemas.openxmlformats.org/officeDocument/2006/relationships/chart" Target="../charts/chart15.xml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29" Type="http://schemas.openxmlformats.org/officeDocument/2006/relationships/image" Target="../media/image33.svg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24" Type="http://schemas.openxmlformats.org/officeDocument/2006/relationships/image" Target="../media/image28.png"/><Relationship Id="rId5" Type="http://schemas.openxmlformats.org/officeDocument/2006/relationships/chart" Target="../charts/chart18.xml"/><Relationship Id="rId15" Type="http://schemas.openxmlformats.org/officeDocument/2006/relationships/image" Target="../media/image3.svg"/><Relationship Id="rId23" Type="http://schemas.openxmlformats.org/officeDocument/2006/relationships/image" Target="../media/image27.svg"/><Relationship Id="rId28" Type="http://schemas.openxmlformats.org/officeDocument/2006/relationships/image" Target="../media/image32.png"/><Relationship Id="rId10" Type="http://schemas.openxmlformats.org/officeDocument/2006/relationships/chart" Target="../charts/chart23.xml"/><Relationship Id="rId19" Type="http://schemas.openxmlformats.org/officeDocument/2006/relationships/image" Target="../media/image23.svg"/><Relationship Id="rId31" Type="http://schemas.openxmlformats.org/officeDocument/2006/relationships/image" Target="../media/image35.svg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image" Target="../media/image2.png"/><Relationship Id="rId22" Type="http://schemas.openxmlformats.org/officeDocument/2006/relationships/image" Target="../media/image26.png"/><Relationship Id="rId27" Type="http://schemas.openxmlformats.org/officeDocument/2006/relationships/image" Target="../media/image31.svg"/><Relationship Id="rId30" Type="http://schemas.openxmlformats.org/officeDocument/2006/relationships/image" Target="../media/image3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13" Type="http://schemas.openxmlformats.org/officeDocument/2006/relationships/chart" Target="../charts/chart39.xml"/><Relationship Id="rId18" Type="http://schemas.openxmlformats.org/officeDocument/2006/relationships/image" Target="../media/image40.png"/><Relationship Id="rId26" Type="http://schemas.openxmlformats.org/officeDocument/2006/relationships/image" Target="../media/image48.png"/><Relationship Id="rId3" Type="http://schemas.openxmlformats.org/officeDocument/2006/relationships/chart" Target="../charts/chart29.xml"/><Relationship Id="rId21" Type="http://schemas.openxmlformats.org/officeDocument/2006/relationships/image" Target="../media/image43.svg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17" Type="http://schemas.openxmlformats.org/officeDocument/2006/relationships/image" Target="../media/image39.svg"/><Relationship Id="rId25" Type="http://schemas.openxmlformats.org/officeDocument/2006/relationships/image" Target="../media/image47.svg"/><Relationship Id="rId2" Type="http://schemas.openxmlformats.org/officeDocument/2006/relationships/chart" Target="../charts/chart28.xml"/><Relationship Id="rId16" Type="http://schemas.openxmlformats.org/officeDocument/2006/relationships/image" Target="../media/image38.png"/><Relationship Id="rId20" Type="http://schemas.openxmlformats.org/officeDocument/2006/relationships/image" Target="../media/image42.png"/><Relationship Id="rId29" Type="http://schemas.openxmlformats.org/officeDocument/2006/relationships/image" Target="../media/image51.svg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24" Type="http://schemas.openxmlformats.org/officeDocument/2006/relationships/image" Target="../media/image46.png"/><Relationship Id="rId5" Type="http://schemas.openxmlformats.org/officeDocument/2006/relationships/chart" Target="../charts/chart31.xml"/><Relationship Id="rId15" Type="http://schemas.openxmlformats.org/officeDocument/2006/relationships/image" Target="../media/image37.svg"/><Relationship Id="rId23" Type="http://schemas.openxmlformats.org/officeDocument/2006/relationships/image" Target="../media/image45.svg"/><Relationship Id="rId28" Type="http://schemas.openxmlformats.org/officeDocument/2006/relationships/image" Target="../media/image50.png"/><Relationship Id="rId10" Type="http://schemas.openxmlformats.org/officeDocument/2006/relationships/chart" Target="../charts/chart36.xml"/><Relationship Id="rId19" Type="http://schemas.openxmlformats.org/officeDocument/2006/relationships/image" Target="../media/image41.svg"/><Relationship Id="rId4" Type="http://schemas.openxmlformats.org/officeDocument/2006/relationships/chart" Target="../charts/chart30.xml"/><Relationship Id="rId9" Type="http://schemas.openxmlformats.org/officeDocument/2006/relationships/chart" Target="../charts/chart35.xml"/><Relationship Id="rId14" Type="http://schemas.openxmlformats.org/officeDocument/2006/relationships/image" Target="../media/image36.png"/><Relationship Id="rId22" Type="http://schemas.openxmlformats.org/officeDocument/2006/relationships/image" Target="../media/image44.png"/><Relationship Id="rId27" Type="http://schemas.openxmlformats.org/officeDocument/2006/relationships/image" Target="../media/image49.sv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13" Type="http://schemas.openxmlformats.org/officeDocument/2006/relationships/chart" Target="../charts/chart52.xml"/><Relationship Id="rId18" Type="http://schemas.openxmlformats.org/officeDocument/2006/relationships/image" Target="../media/image56.png"/><Relationship Id="rId26" Type="http://schemas.openxmlformats.org/officeDocument/2006/relationships/image" Target="../media/image64.png"/><Relationship Id="rId3" Type="http://schemas.openxmlformats.org/officeDocument/2006/relationships/chart" Target="../charts/chart42.xml"/><Relationship Id="rId21" Type="http://schemas.openxmlformats.org/officeDocument/2006/relationships/image" Target="../media/image59.svg"/><Relationship Id="rId7" Type="http://schemas.openxmlformats.org/officeDocument/2006/relationships/chart" Target="../charts/chart46.xml"/><Relationship Id="rId12" Type="http://schemas.openxmlformats.org/officeDocument/2006/relationships/chart" Target="../charts/chart51.xml"/><Relationship Id="rId17" Type="http://schemas.openxmlformats.org/officeDocument/2006/relationships/image" Target="../media/image55.svg"/><Relationship Id="rId25" Type="http://schemas.openxmlformats.org/officeDocument/2006/relationships/image" Target="../media/image63.svg"/><Relationship Id="rId2" Type="http://schemas.openxmlformats.org/officeDocument/2006/relationships/chart" Target="../charts/chart41.xml"/><Relationship Id="rId16" Type="http://schemas.openxmlformats.org/officeDocument/2006/relationships/image" Target="../media/image54.png"/><Relationship Id="rId20" Type="http://schemas.openxmlformats.org/officeDocument/2006/relationships/image" Target="../media/image58.png"/><Relationship Id="rId29" Type="http://schemas.openxmlformats.org/officeDocument/2006/relationships/image" Target="../media/image67.svg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11" Type="http://schemas.openxmlformats.org/officeDocument/2006/relationships/chart" Target="../charts/chart50.xml"/><Relationship Id="rId24" Type="http://schemas.openxmlformats.org/officeDocument/2006/relationships/image" Target="../media/image62.png"/><Relationship Id="rId5" Type="http://schemas.openxmlformats.org/officeDocument/2006/relationships/chart" Target="../charts/chart44.xml"/><Relationship Id="rId15" Type="http://schemas.openxmlformats.org/officeDocument/2006/relationships/image" Target="../media/image53.svg"/><Relationship Id="rId23" Type="http://schemas.openxmlformats.org/officeDocument/2006/relationships/image" Target="../media/image61.svg"/><Relationship Id="rId28" Type="http://schemas.openxmlformats.org/officeDocument/2006/relationships/image" Target="../media/image66.png"/><Relationship Id="rId10" Type="http://schemas.openxmlformats.org/officeDocument/2006/relationships/chart" Target="../charts/chart49.xml"/><Relationship Id="rId19" Type="http://schemas.openxmlformats.org/officeDocument/2006/relationships/image" Target="../media/image57.svg"/><Relationship Id="rId4" Type="http://schemas.openxmlformats.org/officeDocument/2006/relationships/chart" Target="../charts/chart43.xml"/><Relationship Id="rId9" Type="http://schemas.openxmlformats.org/officeDocument/2006/relationships/chart" Target="../charts/chart48.xml"/><Relationship Id="rId14" Type="http://schemas.openxmlformats.org/officeDocument/2006/relationships/image" Target="../media/image52.png"/><Relationship Id="rId22" Type="http://schemas.openxmlformats.org/officeDocument/2006/relationships/image" Target="../media/image60.png"/><Relationship Id="rId27" Type="http://schemas.openxmlformats.org/officeDocument/2006/relationships/image" Target="../media/image6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243840</xdr:rowOff>
    </xdr:from>
    <xdr:to>
      <xdr:col>2</xdr:col>
      <xdr:colOff>75934</xdr:colOff>
      <xdr:row>3</xdr:row>
      <xdr:rowOff>216024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430EDAA-CCFE-40DB-8F6C-3E2F23319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5120" y="495300"/>
          <a:ext cx="1089394" cy="475104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7</xdr:row>
      <xdr:rowOff>38100</xdr:rowOff>
    </xdr:from>
    <xdr:to>
      <xdr:col>1</xdr:col>
      <xdr:colOff>537755</xdr:colOff>
      <xdr:row>8</xdr:row>
      <xdr:rowOff>228359</xdr:rowOff>
    </xdr:to>
    <xdr:pic>
      <xdr:nvPicPr>
        <xdr:cNvPr id="3" name="Graphic 2" descr="User with solid fill">
          <a:extLst>
            <a:ext uri="{FF2B5EF4-FFF2-40B4-BE49-F238E27FC236}">
              <a16:creationId xmlns:a16="http://schemas.microsoft.com/office/drawing/2014/main" id="{BF89E3C3-DDA8-4672-9E39-61DF1F19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3220" y="1798320"/>
          <a:ext cx="431075" cy="44171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457200</xdr:colOff>
      <xdr:row>2</xdr:row>
      <xdr:rowOff>204531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B58ACF4-F764-4BE8-9118-FDB200812BB2}"/>
            </a:ext>
          </a:extLst>
        </xdr:cNvPr>
        <xdr:cNvSpPr/>
      </xdr:nvSpPr>
      <xdr:spPr>
        <a:xfrm>
          <a:off x="2887980" y="25146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4</xdr:col>
      <xdr:colOff>79523</xdr:colOff>
      <xdr:row>1</xdr:row>
      <xdr:rowOff>49527</xdr:rowOff>
    </xdr:from>
    <xdr:to>
      <xdr:col>4</xdr:col>
      <xdr:colOff>385414</xdr:colOff>
      <xdr:row>2</xdr:row>
      <xdr:rowOff>102749</xdr:rowOff>
    </xdr:to>
    <xdr:pic>
      <xdr:nvPicPr>
        <xdr:cNvPr id="6" name="Graphic 15" descr="Document with solid fill">
          <a:extLst>
            <a:ext uri="{FF2B5EF4-FFF2-40B4-BE49-F238E27FC236}">
              <a16:creationId xmlns:a16="http://schemas.microsoft.com/office/drawing/2014/main" id="{12CEDDB2-FD0D-4CB9-8F34-A4A150F20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967503" y="300987"/>
          <a:ext cx="305891" cy="304682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</xdr:row>
      <xdr:rowOff>7620</xdr:rowOff>
    </xdr:from>
    <xdr:to>
      <xdr:col>8</xdr:col>
      <xdr:colOff>457200</xdr:colOff>
      <xdr:row>2</xdr:row>
      <xdr:rowOff>214663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955082C3-FE64-43DD-9CAF-480A7581CEB1}"/>
            </a:ext>
          </a:extLst>
        </xdr:cNvPr>
        <xdr:cNvSpPr/>
      </xdr:nvSpPr>
      <xdr:spPr>
        <a:xfrm>
          <a:off x="5090160" y="25908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8</xdr:col>
      <xdr:colOff>32785</xdr:colOff>
      <xdr:row>1</xdr:row>
      <xdr:rowOff>5979</xdr:rowOff>
    </xdr:from>
    <xdr:to>
      <xdr:col>8</xdr:col>
      <xdr:colOff>409975</xdr:colOff>
      <xdr:row>2</xdr:row>
      <xdr:rowOff>133702</xdr:rowOff>
    </xdr:to>
    <xdr:pic>
      <xdr:nvPicPr>
        <xdr:cNvPr id="8" name="Graphic 3" descr="Money with solid fill">
          <a:extLst>
            <a:ext uri="{FF2B5EF4-FFF2-40B4-BE49-F238E27FC236}">
              <a16:creationId xmlns:a16="http://schemas.microsoft.com/office/drawing/2014/main" id="{0CFC1321-0FDD-4C3B-B239-41FF27C25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122945" y="257439"/>
          <a:ext cx="377190" cy="379183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457200</xdr:colOff>
      <xdr:row>2</xdr:row>
      <xdr:rowOff>207043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46C34BB-1196-4F59-A4F7-EA7C40A746D5}"/>
            </a:ext>
          </a:extLst>
        </xdr:cNvPr>
        <xdr:cNvSpPr/>
      </xdr:nvSpPr>
      <xdr:spPr>
        <a:xfrm>
          <a:off x="7292340" y="25146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12</xdr:col>
      <xdr:colOff>49862</xdr:colOff>
      <xdr:row>1</xdr:row>
      <xdr:rowOff>8665</xdr:rowOff>
    </xdr:from>
    <xdr:to>
      <xdr:col>12</xdr:col>
      <xdr:colOff>387517</xdr:colOff>
      <xdr:row>2</xdr:row>
      <xdr:rowOff>96163</xdr:rowOff>
    </xdr:to>
    <xdr:pic>
      <xdr:nvPicPr>
        <xdr:cNvPr id="12" name="Graphic 149" descr="Dollar with solid fill">
          <a:extLst>
            <a:ext uri="{FF2B5EF4-FFF2-40B4-BE49-F238E27FC236}">
              <a16:creationId xmlns:a16="http://schemas.microsoft.com/office/drawing/2014/main" id="{FCEA7DF0-9082-4212-98F8-41A1D8BC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7365062" y="259036"/>
          <a:ext cx="337655" cy="33787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1</xdr:row>
      <xdr:rowOff>7620</xdr:rowOff>
    </xdr:from>
    <xdr:to>
      <xdr:col>16</xdr:col>
      <xdr:colOff>457200</xdr:colOff>
      <xdr:row>2</xdr:row>
      <xdr:rowOff>217594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80C27C56-0397-4C87-BAA9-C7520BADCB93}"/>
            </a:ext>
          </a:extLst>
        </xdr:cNvPr>
        <xdr:cNvSpPr/>
      </xdr:nvSpPr>
      <xdr:spPr>
        <a:xfrm>
          <a:off x="9494520" y="25908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16</xdr:col>
      <xdr:colOff>76217</xdr:colOff>
      <xdr:row>1</xdr:row>
      <xdr:rowOff>66916</xdr:rowOff>
    </xdr:from>
    <xdr:to>
      <xdr:col>16</xdr:col>
      <xdr:colOff>399129</xdr:colOff>
      <xdr:row>2</xdr:row>
      <xdr:rowOff>142602</xdr:rowOff>
    </xdr:to>
    <xdr:pic>
      <xdr:nvPicPr>
        <xdr:cNvPr id="14" name="Graphic 150" descr="Bitcoin with solid fill">
          <a:extLst>
            <a:ext uri="{FF2B5EF4-FFF2-40B4-BE49-F238E27FC236}">
              <a16:creationId xmlns:a16="http://schemas.microsoft.com/office/drawing/2014/main" id="{B2C13EA1-5CD2-4F01-A72A-09356116B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9570737" y="318376"/>
          <a:ext cx="322912" cy="327146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457200</xdr:colOff>
      <xdr:row>7</xdr:row>
      <xdr:rowOff>212151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39EB1B1E-D75E-424E-BFBE-024BDB6205DB}"/>
            </a:ext>
          </a:extLst>
        </xdr:cNvPr>
        <xdr:cNvSpPr/>
      </xdr:nvSpPr>
      <xdr:spPr>
        <a:xfrm>
          <a:off x="2887980" y="151638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182880</xdr:colOff>
      <xdr:row>5</xdr:row>
      <xdr:rowOff>144780</xdr:rowOff>
    </xdr:from>
    <xdr:to>
      <xdr:col>4</xdr:col>
      <xdr:colOff>464845</xdr:colOff>
      <xdr:row>7</xdr:row>
      <xdr:rowOff>210329</xdr:rowOff>
    </xdr:to>
    <xdr:sp macro="" textlink="">
      <xdr:nvSpPr>
        <xdr:cNvPr id="15" name="TextBox 145">
          <a:extLst>
            <a:ext uri="{FF2B5EF4-FFF2-40B4-BE49-F238E27FC236}">
              <a16:creationId xmlns:a16="http://schemas.microsoft.com/office/drawing/2014/main" id="{6A4F53BC-BF26-4748-B264-D5FCC4B5145C}"/>
            </a:ext>
          </a:extLst>
        </xdr:cNvPr>
        <xdr:cNvSpPr txBox="1"/>
      </xdr:nvSpPr>
      <xdr:spPr>
        <a:xfrm>
          <a:off x="2887980" y="1383030"/>
          <a:ext cx="472465" cy="56084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400">
              <a:solidFill>
                <a:srgbClr val="009977"/>
              </a:solidFill>
              <a:latin typeface="supermarket" panose="02000000000000000000" pitchFamily="2" charset="0"/>
              <a:cs typeface="supermarket" panose="02000000000000000000" pitchFamily="2" charset="0"/>
            </a:rPr>
            <a:t>Q1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457200</xdr:colOff>
      <xdr:row>2</xdr:row>
      <xdr:rowOff>209974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F418E804-C41F-4712-91E5-26AE6D8E4D35}"/>
            </a:ext>
          </a:extLst>
        </xdr:cNvPr>
        <xdr:cNvSpPr/>
      </xdr:nvSpPr>
      <xdr:spPr>
        <a:xfrm>
          <a:off x="11696700" y="25146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20</xdr:col>
      <xdr:colOff>30480</xdr:colOff>
      <xdr:row>1</xdr:row>
      <xdr:rowOff>30480</xdr:rowOff>
    </xdr:from>
    <xdr:to>
      <xdr:col>20</xdr:col>
      <xdr:colOff>390235</xdr:colOff>
      <xdr:row>2</xdr:row>
      <xdr:rowOff>143009</xdr:rowOff>
    </xdr:to>
    <xdr:pic>
      <xdr:nvPicPr>
        <xdr:cNvPr id="18" name="Graphic 151" descr="Tax with solid fill">
          <a:extLst>
            <a:ext uri="{FF2B5EF4-FFF2-40B4-BE49-F238E27FC236}">
              <a16:creationId xmlns:a16="http://schemas.microsoft.com/office/drawing/2014/main" id="{94377F17-21FA-4631-960A-1852E5D4B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11727180" y="281940"/>
          <a:ext cx="359755" cy="363989"/>
        </a:xfrm>
        <a:prstGeom prst="rect">
          <a:avLst/>
        </a:prstGeom>
      </xdr:spPr>
    </xdr:pic>
    <xdr:clientData/>
  </xdr:twoCellAnchor>
  <xdr:twoCellAnchor>
    <xdr:from>
      <xdr:col>4</xdr:col>
      <xdr:colOff>2365</xdr:colOff>
      <xdr:row>11</xdr:row>
      <xdr:rowOff>7620</xdr:rowOff>
    </xdr:from>
    <xdr:to>
      <xdr:col>4</xdr:col>
      <xdr:colOff>459565</xdr:colOff>
      <xdr:row>12</xdr:row>
      <xdr:rowOff>212151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6A9EB4AA-C18E-4C9B-A943-7E43E6C8FEE3}"/>
            </a:ext>
          </a:extLst>
        </xdr:cNvPr>
        <xdr:cNvSpPr/>
      </xdr:nvSpPr>
      <xdr:spPr>
        <a:xfrm>
          <a:off x="2887455" y="2782351"/>
          <a:ext cx="457200" cy="45677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4</xdr:col>
      <xdr:colOff>60960</xdr:colOff>
      <xdr:row>11</xdr:row>
      <xdr:rowOff>41910</xdr:rowOff>
    </xdr:from>
    <xdr:to>
      <xdr:col>4</xdr:col>
      <xdr:colOff>391489</xdr:colOff>
      <xdr:row>12</xdr:row>
      <xdr:rowOff>120979</xdr:rowOff>
    </xdr:to>
    <xdr:pic>
      <xdr:nvPicPr>
        <xdr:cNvPr id="20" name="Graphic 146" descr="Bar chart with solid fill">
          <a:extLst>
            <a:ext uri="{FF2B5EF4-FFF2-40B4-BE49-F238E27FC236}">
              <a16:creationId xmlns:a16="http://schemas.microsoft.com/office/drawing/2014/main" id="{9CEBEFF2-2457-4864-839C-DC99DF7A8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2956560" y="2766060"/>
          <a:ext cx="330529" cy="326719"/>
        </a:xfrm>
        <a:prstGeom prst="rect">
          <a:avLst/>
        </a:prstGeom>
      </xdr:spPr>
    </xdr:pic>
    <xdr:clientData/>
  </xdr:twoCellAnchor>
  <xdr:twoCellAnchor>
    <xdr:from>
      <xdr:col>4</xdr:col>
      <xdr:colOff>2364</xdr:colOff>
      <xdr:row>16</xdr:row>
      <xdr:rowOff>7621</xdr:rowOff>
    </xdr:from>
    <xdr:to>
      <xdr:col>4</xdr:col>
      <xdr:colOff>459564</xdr:colOff>
      <xdr:row>17</xdr:row>
      <xdr:rowOff>212151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172C734-6514-488B-8130-03A403E3AB24}"/>
            </a:ext>
          </a:extLst>
        </xdr:cNvPr>
        <xdr:cNvSpPr/>
      </xdr:nvSpPr>
      <xdr:spPr>
        <a:xfrm>
          <a:off x="2887454" y="4043593"/>
          <a:ext cx="457200" cy="45677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2364</xdr:colOff>
      <xdr:row>21</xdr:row>
      <xdr:rowOff>12875</xdr:rowOff>
    </xdr:from>
    <xdr:to>
      <xdr:col>4</xdr:col>
      <xdr:colOff>459564</xdr:colOff>
      <xdr:row>22</xdr:row>
      <xdr:rowOff>217406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6A09D7F7-4786-4F59-9932-E32CBC6926FA}"/>
            </a:ext>
          </a:extLst>
        </xdr:cNvPr>
        <xdr:cNvSpPr/>
      </xdr:nvSpPr>
      <xdr:spPr>
        <a:xfrm>
          <a:off x="2887454" y="5310089"/>
          <a:ext cx="457200" cy="45677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4</xdr:col>
      <xdr:colOff>927</xdr:colOff>
      <xdr:row>15</xdr:row>
      <xdr:rowOff>238648</xdr:rowOff>
    </xdr:from>
    <xdr:to>
      <xdr:col>4</xdr:col>
      <xdr:colOff>449010</xdr:colOff>
      <xdr:row>17</xdr:row>
      <xdr:rowOff>187148</xdr:rowOff>
    </xdr:to>
    <xdr:pic>
      <xdr:nvPicPr>
        <xdr:cNvPr id="24" name="Graphic 148" descr="User network outline">
          <a:extLst>
            <a:ext uri="{FF2B5EF4-FFF2-40B4-BE49-F238E27FC236}">
              <a16:creationId xmlns:a16="http://schemas.microsoft.com/office/drawing/2014/main" id="{8E27A6D7-D96D-4040-A5C2-22D4D18EA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887562" y="4003824"/>
          <a:ext cx="448083" cy="450524"/>
        </a:xfrm>
        <a:prstGeom prst="rect">
          <a:avLst/>
        </a:prstGeom>
      </xdr:spPr>
    </xdr:pic>
    <xdr:clientData/>
  </xdr:twoCellAnchor>
  <xdr:twoCellAnchor editAs="oneCell">
    <xdr:from>
      <xdr:col>4</xdr:col>
      <xdr:colOff>43801</xdr:colOff>
      <xdr:row>21</xdr:row>
      <xdr:rowOff>20942</xdr:rowOff>
    </xdr:from>
    <xdr:to>
      <xdr:col>4</xdr:col>
      <xdr:colOff>410999</xdr:colOff>
      <xdr:row>22</xdr:row>
      <xdr:rowOff>141782</xdr:rowOff>
    </xdr:to>
    <xdr:pic>
      <xdr:nvPicPr>
        <xdr:cNvPr id="25" name="Graphic 147" descr="Lightbulb and gear with solid fill">
          <a:extLst>
            <a:ext uri="{FF2B5EF4-FFF2-40B4-BE49-F238E27FC236}">
              <a16:creationId xmlns:a16="http://schemas.microsoft.com/office/drawing/2014/main" id="{DDDD797A-E2F1-4881-B57D-7AFD45166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>
          <a:off x="2928891" y="5318156"/>
          <a:ext cx="367198" cy="373088"/>
        </a:xfrm>
        <a:prstGeom prst="rect">
          <a:avLst/>
        </a:prstGeom>
      </xdr:spPr>
    </xdr:pic>
    <xdr:clientData/>
  </xdr:twoCellAnchor>
  <xdr:twoCellAnchor>
    <xdr:from>
      <xdr:col>7</xdr:col>
      <xdr:colOff>163286</xdr:colOff>
      <xdr:row>6</xdr:row>
      <xdr:rowOff>1</xdr:rowOff>
    </xdr:from>
    <xdr:to>
      <xdr:col>15</xdr:col>
      <xdr:colOff>10886</xdr:colOff>
      <xdr:row>15</xdr:row>
      <xdr:rowOff>10886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A7811C21-0841-4FE1-804D-515E576D2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152400</xdr:colOff>
      <xdr:row>15</xdr:row>
      <xdr:rowOff>228600</xdr:rowOff>
    </xdr:from>
    <xdr:to>
      <xdr:col>12</xdr:col>
      <xdr:colOff>489857</xdr:colOff>
      <xdr:row>25</xdr:row>
      <xdr:rowOff>10885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C04DB89E-C31C-4511-9A9C-BB5455AD0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751109</xdr:colOff>
      <xdr:row>15</xdr:row>
      <xdr:rowOff>219075</xdr:rowOff>
    </xdr:from>
    <xdr:to>
      <xdr:col>18</xdr:col>
      <xdr:colOff>3260</xdr:colOff>
      <xdr:row>25</xdr:row>
      <xdr:rowOff>1360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0805949-5CEF-4CC4-9DD9-E0551DF793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9525</xdr:colOff>
      <xdr:row>5</xdr:row>
      <xdr:rowOff>242888</xdr:rowOff>
    </xdr:from>
    <xdr:to>
      <xdr:col>23</xdr:col>
      <xdr:colOff>9525</xdr:colOff>
      <xdr:row>15</xdr:row>
      <xdr:rowOff>28575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E86F25E-A196-4820-9985-7CC458D61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590550</xdr:colOff>
      <xdr:row>4</xdr:row>
      <xdr:rowOff>19050</xdr:rowOff>
    </xdr:from>
    <xdr:to>
      <xdr:col>6</xdr:col>
      <xdr:colOff>685800</xdr:colOff>
      <xdr:row>4</xdr:row>
      <xdr:rowOff>228600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5BB1BE9-9389-46DC-81B4-2200003FD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590550</xdr:colOff>
      <xdr:row>9</xdr:row>
      <xdr:rowOff>9525</xdr:rowOff>
    </xdr:from>
    <xdr:to>
      <xdr:col>6</xdr:col>
      <xdr:colOff>685800</xdr:colOff>
      <xdr:row>9</xdr:row>
      <xdr:rowOff>219075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76B57FC3-8771-457D-B965-C1040DCA0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619125</xdr:colOff>
      <xdr:row>14</xdr:row>
      <xdr:rowOff>9525</xdr:rowOff>
    </xdr:from>
    <xdr:to>
      <xdr:col>6</xdr:col>
      <xdr:colOff>714375</xdr:colOff>
      <xdr:row>14</xdr:row>
      <xdr:rowOff>219075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0E871A8-E85D-4E48-856A-4AB3A173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615114</xdr:colOff>
      <xdr:row>24</xdr:row>
      <xdr:rowOff>1506</xdr:rowOff>
    </xdr:from>
    <xdr:to>
      <xdr:col>6</xdr:col>
      <xdr:colOff>710364</xdr:colOff>
      <xdr:row>24</xdr:row>
      <xdr:rowOff>216069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1D95C9AA-8CD4-41A1-965F-B44F05757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590550</xdr:colOff>
      <xdr:row>3</xdr:row>
      <xdr:rowOff>238125</xdr:rowOff>
    </xdr:from>
    <xdr:to>
      <xdr:col>10</xdr:col>
      <xdr:colOff>685800</xdr:colOff>
      <xdr:row>4</xdr:row>
      <xdr:rowOff>200025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F434BF2-73A8-4888-82D5-4EF6B4235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12</xdr:col>
      <xdr:colOff>552450</xdr:colOff>
      <xdr:row>3</xdr:row>
      <xdr:rowOff>238125</xdr:rowOff>
    </xdr:from>
    <xdr:to>
      <xdr:col>14</xdr:col>
      <xdr:colOff>647700</xdr:colOff>
      <xdr:row>4</xdr:row>
      <xdr:rowOff>200025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1DB00A3E-FA3A-49D5-A29A-DF3546A2B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571500</xdr:colOff>
      <xdr:row>3</xdr:row>
      <xdr:rowOff>219075</xdr:rowOff>
    </xdr:from>
    <xdr:to>
      <xdr:col>18</xdr:col>
      <xdr:colOff>666750</xdr:colOff>
      <xdr:row>4</xdr:row>
      <xdr:rowOff>180975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CF29345-DC30-4816-9230-8E1A66D6B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20</xdr:col>
      <xdr:colOff>561975</xdr:colOff>
      <xdr:row>3</xdr:row>
      <xdr:rowOff>219075</xdr:rowOff>
    </xdr:from>
    <xdr:to>
      <xdr:col>22</xdr:col>
      <xdr:colOff>657225</xdr:colOff>
      <xdr:row>4</xdr:row>
      <xdr:rowOff>180975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DDE0C1E5-7464-45A3-ADBA-6FC2236E3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18</xdr:col>
      <xdr:colOff>206829</xdr:colOff>
      <xdr:row>15</xdr:row>
      <xdr:rowOff>206829</xdr:rowOff>
    </xdr:from>
    <xdr:to>
      <xdr:col>23</xdr:col>
      <xdr:colOff>1</xdr:colOff>
      <xdr:row>24</xdr:row>
      <xdr:rowOff>239486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DF66DD83-FEBF-41AB-B3FA-48B15D206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457200</xdr:colOff>
      <xdr:row>2</xdr:row>
      <xdr:rowOff>204531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924A31-FAEB-4EC3-BEB6-61B756CCF9A8}"/>
            </a:ext>
          </a:extLst>
        </xdr:cNvPr>
        <xdr:cNvSpPr/>
      </xdr:nvSpPr>
      <xdr:spPr>
        <a:xfrm>
          <a:off x="2887980" y="25146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0</xdr:colOff>
      <xdr:row>1</xdr:row>
      <xdr:rowOff>7620</xdr:rowOff>
    </xdr:from>
    <xdr:to>
      <xdr:col>8</xdr:col>
      <xdr:colOff>457200</xdr:colOff>
      <xdr:row>2</xdr:row>
      <xdr:rowOff>214663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350056E8-6F21-4D06-A0FC-DB27041F7DBC}"/>
            </a:ext>
          </a:extLst>
        </xdr:cNvPr>
        <xdr:cNvSpPr/>
      </xdr:nvSpPr>
      <xdr:spPr>
        <a:xfrm>
          <a:off x="5090160" y="25908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457200</xdr:colOff>
      <xdr:row>2</xdr:row>
      <xdr:rowOff>207043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3622B5AA-2BFB-436F-991A-9DA7269E79AD}"/>
            </a:ext>
          </a:extLst>
        </xdr:cNvPr>
        <xdr:cNvSpPr/>
      </xdr:nvSpPr>
      <xdr:spPr>
        <a:xfrm>
          <a:off x="7292340" y="25146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0</xdr:colOff>
      <xdr:row>1</xdr:row>
      <xdr:rowOff>7620</xdr:rowOff>
    </xdr:from>
    <xdr:to>
      <xdr:col>16</xdr:col>
      <xdr:colOff>457200</xdr:colOff>
      <xdr:row>2</xdr:row>
      <xdr:rowOff>217594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6144530B-F0DB-4FC7-8FF7-E988AC5D03C7}"/>
            </a:ext>
          </a:extLst>
        </xdr:cNvPr>
        <xdr:cNvSpPr/>
      </xdr:nvSpPr>
      <xdr:spPr>
        <a:xfrm>
          <a:off x="9494520" y="25908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457200</xdr:colOff>
      <xdr:row>7</xdr:row>
      <xdr:rowOff>212151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1D2E0AA3-F9FC-41E5-AAD8-1495B750C230}"/>
            </a:ext>
          </a:extLst>
        </xdr:cNvPr>
        <xdr:cNvSpPr/>
      </xdr:nvSpPr>
      <xdr:spPr>
        <a:xfrm>
          <a:off x="2887980" y="151638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182880</xdr:colOff>
      <xdr:row>5</xdr:row>
      <xdr:rowOff>144780</xdr:rowOff>
    </xdr:from>
    <xdr:to>
      <xdr:col>4</xdr:col>
      <xdr:colOff>464845</xdr:colOff>
      <xdr:row>7</xdr:row>
      <xdr:rowOff>210329</xdr:rowOff>
    </xdr:to>
    <xdr:sp macro="" textlink="">
      <xdr:nvSpPr>
        <xdr:cNvPr id="14" name="TextBox 145">
          <a:extLst>
            <a:ext uri="{FF2B5EF4-FFF2-40B4-BE49-F238E27FC236}">
              <a16:creationId xmlns:a16="http://schemas.microsoft.com/office/drawing/2014/main" id="{F6B6AF5E-7C53-4291-897B-4B9F7AE27DA3}"/>
            </a:ext>
          </a:extLst>
        </xdr:cNvPr>
        <xdr:cNvSpPr txBox="1"/>
      </xdr:nvSpPr>
      <xdr:spPr>
        <a:xfrm>
          <a:off x="2880360" y="1402080"/>
          <a:ext cx="472465" cy="56846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400">
              <a:solidFill>
                <a:schemeClr val="accent5">
                  <a:lumMod val="75000"/>
                </a:schemeClr>
              </a:solidFill>
              <a:latin typeface="supermarket" panose="02000000000000000000" pitchFamily="2" charset="0"/>
              <a:cs typeface="supermarket" panose="02000000000000000000" pitchFamily="2" charset="0"/>
            </a:rPr>
            <a:t>Q1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457200</xdr:colOff>
      <xdr:row>2</xdr:row>
      <xdr:rowOff>209974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126EB49F-7CE0-4AF9-90DC-9CDA8AA1206A}"/>
            </a:ext>
          </a:extLst>
        </xdr:cNvPr>
        <xdr:cNvSpPr/>
      </xdr:nvSpPr>
      <xdr:spPr>
        <a:xfrm>
          <a:off x="11696700" y="25146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2365</xdr:colOff>
      <xdr:row>11</xdr:row>
      <xdr:rowOff>7620</xdr:rowOff>
    </xdr:from>
    <xdr:to>
      <xdr:col>4</xdr:col>
      <xdr:colOff>459565</xdr:colOff>
      <xdr:row>12</xdr:row>
      <xdr:rowOff>212151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59F7A4F6-F57F-4DE6-89A0-ACDF2ACBE41D}"/>
            </a:ext>
          </a:extLst>
        </xdr:cNvPr>
        <xdr:cNvSpPr/>
      </xdr:nvSpPr>
      <xdr:spPr>
        <a:xfrm>
          <a:off x="2890345" y="277368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2364</xdr:colOff>
      <xdr:row>16</xdr:row>
      <xdr:rowOff>7621</xdr:rowOff>
    </xdr:from>
    <xdr:to>
      <xdr:col>4</xdr:col>
      <xdr:colOff>459564</xdr:colOff>
      <xdr:row>17</xdr:row>
      <xdr:rowOff>212151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519F3FD1-E55E-4FEE-AC78-8E05D706F2ED}"/>
            </a:ext>
          </a:extLst>
        </xdr:cNvPr>
        <xdr:cNvSpPr/>
      </xdr:nvSpPr>
      <xdr:spPr>
        <a:xfrm>
          <a:off x="2890344" y="4030981"/>
          <a:ext cx="457200" cy="45599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2364</xdr:colOff>
      <xdr:row>21</xdr:row>
      <xdr:rowOff>12875</xdr:rowOff>
    </xdr:from>
    <xdr:to>
      <xdr:col>4</xdr:col>
      <xdr:colOff>459564</xdr:colOff>
      <xdr:row>22</xdr:row>
      <xdr:rowOff>217406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6FC635E-F95A-489E-BE9B-9403145128F5}"/>
            </a:ext>
          </a:extLst>
        </xdr:cNvPr>
        <xdr:cNvSpPr/>
      </xdr:nvSpPr>
      <xdr:spPr>
        <a:xfrm>
          <a:off x="2890344" y="5293535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163286</xdr:colOff>
      <xdr:row>6</xdr:row>
      <xdr:rowOff>1</xdr:rowOff>
    </xdr:from>
    <xdr:to>
      <xdr:col>15</xdr:col>
      <xdr:colOff>10886</xdr:colOff>
      <xdr:row>15</xdr:row>
      <xdr:rowOff>10886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6F3B9DE5-7B4D-4FD4-9871-F8FB0B4F9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15</xdr:row>
      <xdr:rowOff>228600</xdr:rowOff>
    </xdr:from>
    <xdr:to>
      <xdr:col>12</xdr:col>
      <xdr:colOff>489857</xdr:colOff>
      <xdr:row>25</xdr:row>
      <xdr:rowOff>10885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E9E4814-AAA7-4514-BB40-0C689635D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751109</xdr:colOff>
      <xdr:row>15</xdr:row>
      <xdr:rowOff>219075</xdr:rowOff>
    </xdr:from>
    <xdr:to>
      <xdr:col>18</xdr:col>
      <xdr:colOff>3260</xdr:colOff>
      <xdr:row>25</xdr:row>
      <xdr:rowOff>1360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EB29883-374C-4BD5-9274-C2A6C5C83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9525</xdr:colOff>
      <xdr:row>5</xdr:row>
      <xdr:rowOff>242888</xdr:rowOff>
    </xdr:from>
    <xdr:to>
      <xdr:col>23</xdr:col>
      <xdr:colOff>9525</xdr:colOff>
      <xdr:row>15</xdr:row>
      <xdr:rowOff>28575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DCEA152-A90A-4524-B175-74F4334CF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590550</xdr:colOff>
      <xdr:row>4</xdr:row>
      <xdr:rowOff>19050</xdr:rowOff>
    </xdr:from>
    <xdr:to>
      <xdr:col>6</xdr:col>
      <xdr:colOff>685800</xdr:colOff>
      <xdr:row>4</xdr:row>
      <xdr:rowOff>228600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A61C1CF-AE2B-4901-A24B-4058E0E42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590550</xdr:colOff>
      <xdr:row>9</xdr:row>
      <xdr:rowOff>9525</xdr:rowOff>
    </xdr:from>
    <xdr:to>
      <xdr:col>6</xdr:col>
      <xdr:colOff>685800</xdr:colOff>
      <xdr:row>9</xdr:row>
      <xdr:rowOff>219075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21BB07E-8DFC-4744-9ABB-67CA745F9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619125</xdr:colOff>
      <xdr:row>14</xdr:row>
      <xdr:rowOff>9525</xdr:rowOff>
    </xdr:from>
    <xdr:to>
      <xdr:col>6</xdr:col>
      <xdr:colOff>714375</xdr:colOff>
      <xdr:row>14</xdr:row>
      <xdr:rowOff>219075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5B02546-9E47-4B40-AAC8-699C1CC84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615114</xdr:colOff>
      <xdr:row>24</xdr:row>
      <xdr:rowOff>1506</xdr:rowOff>
    </xdr:from>
    <xdr:to>
      <xdr:col>6</xdr:col>
      <xdr:colOff>710364</xdr:colOff>
      <xdr:row>24</xdr:row>
      <xdr:rowOff>216069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56C9258-50F9-4399-A021-EE319D4D2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3</xdr:row>
      <xdr:rowOff>238125</xdr:rowOff>
    </xdr:from>
    <xdr:to>
      <xdr:col>10</xdr:col>
      <xdr:colOff>685800</xdr:colOff>
      <xdr:row>4</xdr:row>
      <xdr:rowOff>200025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1B5BBC1B-6607-4E43-B59B-7A1933D59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552450</xdr:colOff>
      <xdr:row>3</xdr:row>
      <xdr:rowOff>238125</xdr:rowOff>
    </xdr:from>
    <xdr:to>
      <xdr:col>14</xdr:col>
      <xdr:colOff>647700</xdr:colOff>
      <xdr:row>4</xdr:row>
      <xdr:rowOff>200025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121E4EE8-3676-4B3D-9AEE-BC210ECC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571500</xdr:colOff>
      <xdr:row>3</xdr:row>
      <xdr:rowOff>219075</xdr:rowOff>
    </xdr:from>
    <xdr:to>
      <xdr:col>18</xdr:col>
      <xdr:colOff>666750</xdr:colOff>
      <xdr:row>4</xdr:row>
      <xdr:rowOff>180975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4253C517-7178-433E-B09B-F56520E36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561975</xdr:colOff>
      <xdr:row>3</xdr:row>
      <xdr:rowOff>219075</xdr:rowOff>
    </xdr:from>
    <xdr:to>
      <xdr:col>22</xdr:col>
      <xdr:colOff>657225</xdr:colOff>
      <xdr:row>4</xdr:row>
      <xdr:rowOff>180975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88FB2A93-8F94-4006-98DE-69B074D6E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206829</xdr:colOff>
      <xdr:row>15</xdr:row>
      <xdr:rowOff>206829</xdr:rowOff>
    </xdr:from>
    <xdr:to>
      <xdr:col>23</xdr:col>
      <xdr:colOff>1</xdr:colOff>
      <xdr:row>24</xdr:row>
      <xdr:rowOff>239486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DFB2CEA1-262C-48FC-AA9B-0DB266D1E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152400</xdr:colOff>
      <xdr:row>7</xdr:row>
      <xdr:rowOff>22860</xdr:rowOff>
    </xdr:from>
    <xdr:to>
      <xdr:col>1</xdr:col>
      <xdr:colOff>583475</xdr:colOff>
      <xdr:row>8</xdr:row>
      <xdr:rowOff>213119</xdr:rowOff>
    </xdr:to>
    <xdr:pic>
      <xdr:nvPicPr>
        <xdr:cNvPr id="36" name="Graphic 35" descr="User with solid fill">
          <a:extLst>
            <a:ext uri="{FF2B5EF4-FFF2-40B4-BE49-F238E27FC236}">
              <a16:creationId xmlns:a16="http://schemas.microsoft.com/office/drawing/2014/main" id="{11481BFD-0BBF-44BD-B045-69512EBC4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1577340" y="1783080"/>
          <a:ext cx="431075" cy="441719"/>
        </a:xfrm>
        <a:prstGeom prst="rect">
          <a:avLst/>
        </a:prstGeom>
      </xdr:spPr>
    </xdr:pic>
    <xdr:clientData/>
  </xdr:twoCellAnchor>
  <xdr:twoCellAnchor editAs="oneCell">
    <xdr:from>
      <xdr:col>4</xdr:col>
      <xdr:colOff>78597</xdr:colOff>
      <xdr:row>1</xdr:row>
      <xdr:rowOff>53788</xdr:rowOff>
    </xdr:from>
    <xdr:to>
      <xdr:col>4</xdr:col>
      <xdr:colOff>384488</xdr:colOff>
      <xdr:row>2</xdr:row>
      <xdr:rowOff>107458</xdr:rowOff>
    </xdr:to>
    <xdr:pic>
      <xdr:nvPicPr>
        <xdr:cNvPr id="37" name="Graphic 15" descr="Document with solid fill">
          <a:extLst>
            <a:ext uri="{FF2B5EF4-FFF2-40B4-BE49-F238E27FC236}">
              <a16:creationId xmlns:a16="http://schemas.microsoft.com/office/drawing/2014/main" id="{539FC179-518E-496B-AB01-8EA4A8417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965232" y="304800"/>
          <a:ext cx="305891" cy="304682"/>
        </a:xfrm>
        <a:prstGeom prst="rect">
          <a:avLst/>
        </a:prstGeom>
      </xdr:spPr>
    </xdr:pic>
    <xdr:clientData/>
  </xdr:twoCellAnchor>
  <xdr:twoCellAnchor editAs="oneCell">
    <xdr:from>
      <xdr:col>4</xdr:col>
      <xdr:colOff>60034</xdr:colOff>
      <xdr:row>11</xdr:row>
      <xdr:rowOff>50654</xdr:rowOff>
    </xdr:from>
    <xdr:to>
      <xdr:col>4</xdr:col>
      <xdr:colOff>390563</xdr:colOff>
      <xdr:row>12</xdr:row>
      <xdr:rowOff>130171</xdr:rowOff>
    </xdr:to>
    <xdr:pic>
      <xdr:nvPicPr>
        <xdr:cNvPr id="38" name="Graphic 146" descr="Bar chart with solid fill">
          <a:extLst>
            <a:ext uri="{FF2B5EF4-FFF2-40B4-BE49-F238E27FC236}">
              <a16:creationId xmlns:a16="http://schemas.microsoft.com/office/drawing/2014/main" id="{8EF3F75B-5C73-4CEF-AD80-5A51BB58E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>
          <a:off x="2946669" y="2811783"/>
          <a:ext cx="330529" cy="330529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15</xdr:row>
      <xdr:rowOff>249185</xdr:rowOff>
    </xdr:from>
    <xdr:to>
      <xdr:col>4</xdr:col>
      <xdr:colOff>448084</xdr:colOff>
      <xdr:row>17</xdr:row>
      <xdr:rowOff>198581</xdr:rowOff>
    </xdr:to>
    <xdr:pic>
      <xdr:nvPicPr>
        <xdr:cNvPr id="39" name="Graphic 148" descr="User network outline">
          <a:extLst>
            <a:ext uri="{FF2B5EF4-FFF2-40B4-BE49-F238E27FC236}">
              <a16:creationId xmlns:a16="http://schemas.microsoft.com/office/drawing/2014/main" id="{4520CA5D-C33B-4A40-B2CE-8B8BB7917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>
          <a:off x="2886636" y="4014361"/>
          <a:ext cx="448083" cy="451420"/>
        </a:xfrm>
        <a:prstGeom prst="rect">
          <a:avLst/>
        </a:prstGeom>
      </xdr:spPr>
    </xdr:pic>
    <xdr:clientData/>
  </xdr:twoCellAnchor>
  <xdr:twoCellAnchor editAs="oneCell">
    <xdr:from>
      <xdr:col>4</xdr:col>
      <xdr:colOff>42875</xdr:colOff>
      <xdr:row>21</xdr:row>
      <xdr:rowOff>34168</xdr:rowOff>
    </xdr:from>
    <xdr:to>
      <xdr:col>4</xdr:col>
      <xdr:colOff>410073</xdr:colOff>
      <xdr:row>22</xdr:row>
      <xdr:rowOff>155456</xdr:rowOff>
    </xdr:to>
    <xdr:pic>
      <xdr:nvPicPr>
        <xdr:cNvPr id="40" name="Graphic 147" descr="Lightbulb and gear with solid fill">
          <a:extLst>
            <a:ext uri="{FF2B5EF4-FFF2-40B4-BE49-F238E27FC236}">
              <a16:creationId xmlns:a16="http://schemas.microsoft.com/office/drawing/2014/main" id="{87FC1F49-FCAE-4EDC-BB52-5E6363DF1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3"/>
            </a:ext>
          </a:extLst>
        </a:blip>
        <a:stretch>
          <a:fillRect/>
        </a:stretch>
      </xdr:blipFill>
      <xdr:spPr>
        <a:xfrm>
          <a:off x="2929510" y="5305415"/>
          <a:ext cx="367198" cy="372300"/>
        </a:xfrm>
        <a:prstGeom prst="rect">
          <a:avLst/>
        </a:prstGeom>
      </xdr:spPr>
    </xdr:pic>
    <xdr:clientData/>
  </xdr:twoCellAnchor>
  <xdr:twoCellAnchor editAs="oneCell">
    <xdr:from>
      <xdr:col>8</xdr:col>
      <xdr:colOff>35859</xdr:colOff>
      <xdr:row>1</xdr:row>
      <xdr:rowOff>17930</xdr:rowOff>
    </xdr:from>
    <xdr:to>
      <xdr:col>8</xdr:col>
      <xdr:colOff>413049</xdr:colOff>
      <xdr:row>2</xdr:row>
      <xdr:rowOff>145653</xdr:rowOff>
    </xdr:to>
    <xdr:pic>
      <xdr:nvPicPr>
        <xdr:cNvPr id="41" name="Graphic 3" descr="Money with solid fill">
          <a:extLst>
            <a:ext uri="{FF2B5EF4-FFF2-40B4-BE49-F238E27FC236}">
              <a16:creationId xmlns:a16="http://schemas.microsoft.com/office/drawing/2014/main" id="{B7E89CF5-4E57-4097-9341-ADFCB746D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tretch>
          <a:fillRect/>
        </a:stretch>
      </xdr:blipFill>
      <xdr:spPr>
        <a:xfrm>
          <a:off x="5118847" y="268942"/>
          <a:ext cx="377190" cy="378735"/>
        </a:xfrm>
        <a:prstGeom prst="rect">
          <a:avLst/>
        </a:prstGeom>
      </xdr:spPr>
    </xdr:pic>
    <xdr:clientData/>
  </xdr:twoCellAnchor>
  <xdr:twoCellAnchor editAs="oneCell">
    <xdr:from>
      <xdr:col>12</xdr:col>
      <xdr:colOff>52936</xdr:colOff>
      <xdr:row>1</xdr:row>
      <xdr:rowOff>20616</xdr:rowOff>
    </xdr:from>
    <xdr:to>
      <xdr:col>12</xdr:col>
      <xdr:colOff>390591</xdr:colOff>
      <xdr:row>2</xdr:row>
      <xdr:rowOff>108114</xdr:rowOff>
    </xdr:to>
    <xdr:pic>
      <xdr:nvPicPr>
        <xdr:cNvPr id="42" name="Graphic 149" descr="Dollar with solid fill">
          <a:extLst>
            <a:ext uri="{FF2B5EF4-FFF2-40B4-BE49-F238E27FC236}">
              <a16:creationId xmlns:a16="http://schemas.microsoft.com/office/drawing/2014/main" id="{9A1B30A0-DF7B-46BE-8169-555C6BB25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7"/>
            </a:ext>
          </a:extLst>
        </a:blip>
        <a:stretch>
          <a:fillRect/>
        </a:stretch>
      </xdr:blipFill>
      <xdr:spPr>
        <a:xfrm>
          <a:off x="7332277" y="271628"/>
          <a:ext cx="337655" cy="338510"/>
        </a:xfrm>
        <a:prstGeom prst="rect">
          <a:avLst/>
        </a:prstGeom>
      </xdr:spPr>
    </xdr:pic>
    <xdr:clientData/>
  </xdr:twoCellAnchor>
  <xdr:twoCellAnchor editAs="oneCell">
    <xdr:from>
      <xdr:col>16</xdr:col>
      <xdr:colOff>79291</xdr:colOff>
      <xdr:row>1</xdr:row>
      <xdr:rowOff>43009</xdr:rowOff>
    </xdr:from>
    <xdr:to>
      <xdr:col>16</xdr:col>
      <xdr:colOff>402203</xdr:colOff>
      <xdr:row>2</xdr:row>
      <xdr:rowOff>118695</xdr:rowOff>
    </xdr:to>
    <xdr:pic>
      <xdr:nvPicPr>
        <xdr:cNvPr id="43" name="Graphic 150" descr="Bitcoin with solid fill">
          <a:extLst>
            <a:ext uri="{FF2B5EF4-FFF2-40B4-BE49-F238E27FC236}">
              <a16:creationId xmlns:a16="http://schemas.microsoft.com/office/drawing/2014/main" id="{D4E89386-B455-4693-A7C5-0D92046F1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9"/>
            </a:ext>
          </a:extLst>
        </a:blip>
        <a:stretch>
          <a:fillRect/>
        </a:stretch>
      </xdr:blipFill>
      <xdr:spPr>
        <a:xfrm>
          <a:off x="9554985" y="294021"/>
          <a:ext cx="322912" cy="326698"/>
        </a:xfrm>
        <a:prstGeom prst="rect">
          <a:avLst/>
        </a:prstGeom>
      </xdr:spPr>
    </xdr:pic>
    <xdr:clientData/>
  </xdr:twoCellAnchor>
  <xdr:twoCellAnchor editAs="oneCell">
    <xdr:from>
      <xdr:col>20</xdr:col>
      <xdr:colOff>53789</xdr:colOff>
      <xdr:row>1</xdr:row>
      <xdr:rowOff>26893</xdr:rowOff>
    </xdr:from>
    <xdr:to>
      <xdr:col>20</xdr:col>
      <xdr:colOff>413544</xdr:colOff>
      <xdr:row>2</xdr:row>
      <xdr:rowOff>139422</xdr:rowOff>
    </xdr:to>
    <xdr:pic>
      <xdr:nvPicPr>
        <xdr:cNvPr id="44" name="Graphic 151" descr="Tax with solid fill">
          <a:extLst>
            <a:ext uri="{FF2B5EF4-FFF2-40B4-BE49-F238E27FC236}">
              <a16:creationId xmlns:a16="http://schemas.microsoft.com/office/drawing/2014/main" id="{5F95A29C-EB91-43BD-8CC1-0D30A64DA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1725836" y="277905"/>
          <a:ext cx="359755" cy="363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457200</xdr:colOff>
      <xdr:row>2</xdr:row>
      <xdr:rowOff>204531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83B2930-09A4-4708-B31E-315DE3A0A315}"/>
            </a:ext>
          </a:extLst>
        </xdr:cNvPr>
        <xdr:cNvSpPr/>
      </xdr:nvSpPr>
      <xdr:spPr>
        <a:xfrm>
          <a:off x="2887980" y="25146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0</xdr:colOff>
      <xdr:row>1</xdr:row>
      <xdr:rowOff>7620</xdr:rowOff>
    </xdr:from>
    <xdr:to>
      <xdr:col>8</xdr:col>
      <xdr:colOff>457200</xdr:colOff>
      <xdr:row>2</xdr:row>
      <xdr:rowOff>214663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22A62579-2DD6-4379-9627-A5B92C649C95}"/>
            </a:ext>
          </a:extLst>
        </xdr:cNvPr>
        <xdr:cNvSpPr/>
      </xdr:nvSpPr>
      <xdr:spPr>
        <a:xfrm>
          <a:off x="5090160" y="25908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457200</xdr:colOff>
      <xdr:row>2</xdr:row>
      <xdr:rowOff>207043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2EA27B58-25C9-4FEE-9BFC-98BA095FAF23}"/>
            </a:ext>
          </a:extLst>
        </xdr:cNvPr>
        <xdr:cNvSpPr/>
      </xdr:nvSpPr>
      <xdr:spPr>
        <a:xfrm>
          <a:off x="7292340" y="25146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0</xdr:colOff>
      <xdr:row>1</xdr:row>
      <xdr:rowOff>7620</xdr:rowOff>
    </xdr:from>
    <xdr:to>
      <xdr:col>16</xdr:col>
      <xdr:colOff>457200</xdr:colOff>
      <xdr:row>2</xdr:row>
      <xdr:rowOff>217594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B1C2F6C6-614E-465F-99F4-7C90956FD1AA}"/>
            </a:ext>
          </a:extLst>
        </xdr:cNvPr>
        <xdr:cNvSpPr/>
      </xdr:nvSpPr>
      <xdr:spPr>
        <a:xfrm>
          <a:off x="9494520" y="25908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457200</xdr:colOff>
      <xdr:row>7</xdr:row>
      <xdr:rowOff>212151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23693351-63A9-4097-8D99-C139EABC00D1}"/>
            </a:ext>
          </a:extLst>
        </xdr:cNvPr>
        <xdr:cNvSpPr/>
      </xdr:nvSpPr>
      <xdr:spPr>
        <a:xfrm>
          <a:off x="2887980" y="151638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182880</xdr:colOff>
      <xdr:row>5</xdr:row>
      <xdr:rowOff>144780</xdr:rowOff>
    </xdr:from>
    <xdr:to>
      <xdr:col>4</xdr:col>
      <xdr:colOff>464845</xdr:colOff>
      <xdr:row>7</xdr:row>
      <xdr:rowOff>210329</xdr:rowOff>
    </xdr:to>
    <xdr:sp macro="" textlink="">
      <xdr:nvSpPr>
        <xdr:cNvPr id="39" name="TextBox 145">
          <a:extLst>
            <a:ext uri="{FF2B5EF4-FFF2-40B4-BE49-F238E27FC236}">
              <a16:creationId xmlns:a16="http://schemas.microsoft.com/office/drawing/2014/main" id="{B36A58F9-B111-4E04-8572-60189CBF57F3}"/>
            </a:ext>
          </a:extLst>
        </xdr:cNvPr>
        <xdr:cNvSpPr txBox="1"/>
      </xdr:nvSpPr>
      <xdr:spPr>
        <a:xfrm>
          <a:off x="2880360" y="1402080"/>
          <a:ext cx="472465" cy="56846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400">
              <a:solidFill>
                <a:srgbClr val="FFC000"/>
              </a:solidFill>
              <a:latin typeface="supermarket" panose="02000000000000000000" pitchFamily="2" charset="0"/>
              <a:cs typeface="supermarket" panose="02000000000000000000" pitchFamily="2" charset="0"/>
            </a:rPr>
            <a:t>Q1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457200</xdr:colOff>
      <xdr:row>2</xdr:row>
      <xdr:rowOff>209974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9E634934-256D-4B5A-84A1-E68C32B42A7D}"/>
            </a:ext>
          </a:extLst>
        </xdr:cNvPr>
        <xdr:cNvSpPr/>
      </xdr:nvSpPr>
      <xdr:spPr>
        <a:xfrm>
          <a:off x="11696700" y="25146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2365</xdr:colOff>
      <xdr:row>11</xdr:row>
      <xdr:rowOff>7620</xdr:rowOff>
    </xdr:from>
    <xdr:to>
      <xdr:col>4</xdr:col>
      <xdr:colOff>459565</xdr:colOff>
      <xdr:row>12</xdr:row>
      <xdr:rowOff>212151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E5BA6F42-FC7E-40BE-AE08-105A36E050C4}"/>
            </a:ext>
          </a:extLst>
        </xdr:cNvPr>
        <xdr:cNvSpPr/>
      </xdr:nvSpPr>
      <xdr:spPr>
        <a:xfrm>
          <a:off x="2890345" y="277368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2364</xdr:colOff>
      <xdr:row>16</xdr:row>
      <xdr:rowOff>7621</xdr:rowOff>
    </xdr:from>
    <xdr:to>
      <xdr:col>4</xdr:col>
      <xdr:colOff>459564</xdr:colOff>
      <xdr:row>17</xdr:row>
      <xdr:rowOff>212151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A313B709-2084-4764-9AED-AF8EB972F7C6}"/>
            </a:ext>
          </a:extLst>
        </xdr:cNvPr>
        <xdr:cNvSpPr/>
      </xdr:nvSpPr>
      <xdr:spPr>
        <a:xfrm>
          <a:off x="2890344" y="4030981"/>
          <a:ext cx="457200" cy="45599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2364</xdr:colOff>
      <xdr:row>21</xdr:row>
      <xdr:rowOff>12875</xdr:rowOff>
    </xdr:from>
    <xdr:to>
      <xdr:col>4</xdr:col>
      <xdr:colOff>459564</xdr:colOff>
      <xdr:row>22</xdr:row>
      <xdr:rowOff>217406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85F34517-5760-4262-9379-F0E8213603D7}"/>
            </a:ext>
          </a:extLst>
        </xdr:cNvPr>
        <xdr:cNvSpPr/>
      </xdr:nvSpPr>
      <xdr:spPr>
        <a:xfrm>
          <a:off x="2890344" y="5293535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163286</xdr:colOff>
      <xdr:row>6</xdr:row>
      <xdr:rowOff>1</xdr:rowOff>
    </xdr:from>
    <xdr:to>
      <xdr:col>15</xdr:col>
      <xdr:colOff>10886</xdr:colOff>
      <xdr:row>15</xdr:row>
      <xdr:rowOff>10886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2EFA251C-5ECF-494C-BBDF-1B03863AA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15</xdr:row>
      <xdr:rowOff>228600</xdr:rowOff>
    </xdr:from>
    <xdr:to>
      <xdr:col>12</xdr:col>
      <xdr:colOff>489857</xdr:colOff>
      <xdr:row>25</xdr:row>
      <xdr:rowOff>10885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6790C8E6-B575-4CD1-ADBD-C1DEDECC3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751109</xdr:colOff>
      <xdr:row>15</xdr:row>
      <xdr:rowOff>219075</xdr:rowOff>
    </xdr:from>
    <xdr:to>
      <xdr:col>18</xdr:col>
      <xdr:colOff>3260</xdr:colOff>
      <xdr:row>25</xdr:row>
      <xdr:rowOff>1360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DF96D726-2EB2-4D5F-B987-270660B69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9525</xdr:colOff>
      <xdr:row>5</xdr:row>
      <xdr:rowOff>242888</xdr:rowOff>
    </xdr:from>
    <xdr:to>
      <xdr:col>23</xdr:col>
      <xdr:colOff>9525</xdr:colOff>
      <xdr:row>15</xdr:row>
      <xdr:rowOff>28575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546A9336-6C69-4868-95DA-9B95CF4C7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590550</xdr:colOff>
      <xdr:row>4</xdr:row>
      <xdr:rowOff>19050</xdr:rowOff>
    </xdr:from>
    <xdr:to>
      <xdr:col>6</xdr:col>
      <xdr:colOff>685800</xdr:colOff>
      <xdr:row>4</xdr:row>
      <xdr:rowOff>228600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D564704F-EE9F-47AA-B502-3852D6EDB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590550</xdr:colOff>
      <xdr:row>9</xdr:row>
      <xdr:rowOff>9525</xdr:rowOff>
    </xdr:from>
    <xdr:to>
      <xdr:col>6</xdr:col>
      <xdr:colOff>685800</xdr:colOff>
      <xdr:row>9</xdr:row>
      <xdr:rowOff>219075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4E256D99-075C-4080-BAB2-A6C61FC40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619125</xdr:colOff>
      <xdr:row>14</xdr:row>
      <xdr:rowOff>9525</xdr:rowOff>
    </xdr:from>
    <xdr:to>
      <xdr:col>6</xdr:col>
      <xdr:colOff>714375</xdr:colOff>
      <xdr:row>14</xdr:row>
      <xdr:rowOff>219075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6BEF2C72-71F1-4B56-B283-4885FF012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615114</xdr:colOff>
      <xdr:row>24</xdr:row>
      <xdr:rowOff>1506</xdr:rowOff>
    </xdr:from>
    <xdr:to>
      <xdr:col>6</xdr:col>
      <xdr:colOff>710364</xdr:colOff>
      <xdr:row>24</xdr:row>
      <xdr:rowOff>216069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644EE01F-D883-45E8-B963-772AE1291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3</xdr:row>
      <xdr:rowOff>238125</xdr:rowOff>
    </xdr:from>
    <xdr:to>
      <xdr:col>10</xdr:col>
      <xdr:colOff>685800</xdr:colOff>
      <xdr:row>4</xdr:row>
      <xdr:rowOff>200025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AD83EB7A-AAF5-4466-8F8B-AB5302F8C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552450</xdr:colOff>
      <xdr:row>3</xdr:row>
      <xdr:rowOff>238125</xdr:rowOff>
    </xdr:from>
    <xdr:to>
      <xdr:col>14</xdr:col>
      <xdr:colOff>647700</xdr:colOff>
      <xdr:row>4</xdr:row>
      <xdr:rowOff>200025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AA421F88-667B-4427-B895-3C13C7912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571500</xdr:colOff>
      <xdr:row>3</xdr:row>
      <xdr:rowOff>219075</xdr:rowOff>
    </xdr:from>
    <xdr:to>
      <xdr:col>18</xdr:col>
      <xdr:colOff>666750</xdr:colOff>
      <xdr:row>4</xdr:row>
      <xdr:rowOff>180975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96173E0D-CFB2-49F9-BA42-C6B04FCD9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561975</xdr:colOff>
      <xdr:row>3</xdr:row>
      <xdr:rowOff>219075</xdr:rowOff>
    </xdr:from>
    <xdr:to>
      <xdr:col>22</xdr:col>
      <xdr:colOff>657225</xdr:colOff>
      <xdr:row>4</xdr:row>
      <xdr:rowOff>180975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057D375-7F1C-488E-B10F-83508627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206829</xdr:colOff>
      <xdr:row>15</xdr:row>
      <xdr:rowOff>206829</xdr:rowOff>
    </xdr:from>
    <xdr:to>
      <xdr:col>23</xdr:col>
      <xdr:colOff>1</xdr:colOff>
      <xdr:row>24</xdr:row>
      <xdr:rowOff>239486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BF71CF5-ACDE-4334-99C1-F39278FCF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4</xdr:col>
      <xdr:colOff>78596</xdr:colOff>
      <xdr:row>1</xdr:row>
      <xdr:rowOff>51098</xdr:rowOff>
    </xdr:from>
    <xdr:to>
      <xdr:col>4</xdr:col>
      <xdr:colOff>384487</xdr:colOff>
      <xdr:row>2</xdr:row>
      <xdr:rowOff>104320</xdr:rowOff>
    </xdr:to>
    <xdr:pic>
      <xdr:nvPicPr>
        <xdr:cNvPr id="66" name="Graphic 15" descr="Document with solid fill">
          <a:extLst>
            <a:ext uri="{FF2B5EF4-FFF2-40B4-BE49-F238E27FC236}">
              <a16:creationId xmlns:a16="http://schemas.microsoft.com/office/drawing/2014/main" id="{2676EE1E-50A0-4371-8470-9D9DF9550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2966576" y="302558"/>
          <a:ext cx="305891" cy="304682"/>
        </a:xfrm>
        <a:prstGeom prst="rect">
          <a:avLst/>
        </a:prstGeom>
      </xdr:spPr>
    </xdr:pic>
    <xdr:clientData/>
  </xdr:twoCellAnchor>
  <xdr:twoCellAnchor editAs="oneCell">
    <xdr:from>
      <xdr:col>4</xdr:col>
      <xdr:colOff>60033</xdr:colOff>
      <xdr:row>11</xdr:row>
      <xdr:rowOff>43481</xdr:rowOff>
    </xdr:from>
    <xdr:to>
      <xdr:col>4</xdr:col>
      <xdr:colOff>390562</xdr:colOff>
      <xdr:row>12</xdr:row>
      <xdr:rowOff>122550</xdr:rowOff>
    </xdr:to>
    <xdr:pic>
      <xdr:nvPicPr>
        <xdr:cNvPr id="67" name="Graphic 146" descr="Bar chart with solid fill">
          <a:extLst>
            <a:ext uri="{FF2B5EF4-FFF2-40B4-BE49-F238E27FC236}">
              <a16:creationId xmlns:a16="http://schemas.microsoft.com/office/drawing/2014/main" id="{640A5613-C3BC-4498-B40D-350321EA2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948013" y="2809541"/>
          <a:ext cx="330529" cy="33052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240219</xdr:rowOff>
    </xdr:from>
    <xdr:to>
      <xdr:col>4</xdr:col>
      <xdr:colOff>448083</xdr:colOff>
      <xdr:row>17</xdr:row>
      <xdr:rowOff>188719</xdr:rowOff>
    </xdr:to>
    <xdr:pic>
      <xdr:nvPicPr>
        <xdr:cNvPr id="68" name="Graphic 148" descr="User network outline">
          <a:extLst>
            <a:ext uri="{FF2B5EF4-FFF2-40B4-BE49-F238E27FC236}">
              <a16:creationId xmlns:a16="http://schemas.microsoft.com/office/drawing/2014/main" id="{C09AC5FD-7683-4685-9A3D-E580D7C70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>
          <a:off x="2887980" y="4012119"/>
          <a:ext cx="448083" cy="451420"/>
        </a:xfrm>
        <a:prstGeom prst="rect">
          <a:avLst/>
        </a:prstGeom>
      </xdr:spPr>
    </xdr:pic>
    <xdr:clientData/>
  </xdr:twoCellAnchor>
  <xdr:twoCellAnchor editAs="oneCell">
    <xdr:from>
      <xdr:col>4</xdr:col>
      <xdr:colOff>42874</xdr:colOff>
      <xdr:row>21</xdr:row>
      <xdr:rowOff>22513</xdr:rowOff>
    </xdr:from>
    <xdr:to>
      <xdr:col>4</xdr:col>
      <xdr:colOff>410072</xdr:colOff>
      <xdr:row>22</xdr:row>
      <xdr:rowOff>143353</xdr:rowOff>
    </xdr:to>
    <xdr:pic>
      <xdr:nvPicPr>
        <xdr:cNvPr id="69" name="Graphic 147" descr="Lightbulb and gear with solid fill">
          <a:extLst>
            <a:ext uri="{FF2B5EF4-FFF2-40B4-BE49-F238E27FC236}">
              <a16:creationId xmlns:a16="http://schemas.microsoft.com/office/drawing/2014/main" id="{D61F8EA1-E91C-480D-81D1-0488642E0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>
          <a:off x="2930854" y="5303173"/>
          <a:ext cx="367198" cy="372300"/>
        </a:xfrm>
        <a:prstGeom prst="rect">
          <a:avLst/>
        </a:prstGeom>
      </xdr:spPr>
    </xdr:pic>
    <xdr:clientData/>
  </xdr:twoCellAnchor>
  <xdr:twoCellAnchor editAs="oneCell">
    <xdr:from>
      <xdr:col>8</xdr:col>
      <xdr:colOff>30031</xdr:colOff>
      <xdr:row>1</xdr:row>
      <xdr:rowOff>15240</xdr:rowOff>
    </xdr:from>
    <xdr:to>
      <xdr:col>8</xdr:col>
      <xdr:colOff>407221</xdr:colOff>
      <xdr:row>2</xdr:row>
      <xdr:rowOff>142515</xdr:rowOff>
    </xdr:to>
    <xdr:pic>
      <xdr:nvPicPr>
        <xdr:cNvPr id="70" name="Graphic 3" descr="Money with solid fill">
          <a:extLst>
            <a:ext uri="{FF2B5EF4-FFF2-40B4-BE49-F238E27FC236}">
              <a16:creationId xmlns:a16="http://schemas.microsoft.com/office/drawing/2014/main" id="{761F3E9A-546B-4F20-826A-30A5ABDEE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3"/>
            </a:ext>
          </a:extLst>
        </a:blip>
        <a:stretch>
          <a:fillRect/>
        </a:stretch>
      </xdr:blipFill>
      <xdr:spPr>
        <a:xfrm>
          <a:off x="5120191" y="266700"/>
          <a:ext cx="377190" cy="378735"/>
        </a:xfrm>
        <a:prstGeom prst="rect">
          <a:avLst/>
        </a:prstGeom>
      </xdr:spPr>
    </xdr:pic>
    <xdr:clientData/>
  </xdr:twoCellAnchor>
  <xdr:twoCellAnchor editAs="oneCell">
    <xdr:from>
      <xdr:col>12</xdr:col>
      <xdr:colOff>41281</xdr:colOff>
      <xdr:row>1</xdr:row>
      <xdr:rowOff>17926</xdr:rowOff>
    </xdr:from>
    <xdr:to>
      <xdr:col>12</xdr:col>
      <xdr:colOff>378936</xdr:colOff>
      <xdr:row>2</xdr:row>
      <xdr:rowOff>104976</xdr:rowOff>
    </xdr:to>
    <xdr:pic>
      <xdr:nvPicPr>
        <xdr:cNvPr id="71" name="Graphic 149" descr="Dollar with solid fill">
          <a:extLst>
            <a:ext uri="{FF2B5EF4-FFF2-40B4-BE49-F238E27FC236}">
              <a16:creationId xmlns:a16="http://schemas.microsoft.com/office/drawing/2014/main" id="{D21DF27B-CD6B-40E9-8C9F-7CB44AE80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tretch>
          <a:fillRect/>
        </a:stretch>
      </xdr:blipFill>
      <xdr:spPr>
        <a:xfrm>
          <a:off x="7333621" y="269386"/>
          <a:ext cx="337655" cy="338510"/>
        </a:xfrm>
        <a:prstGeom prst="rect">
          <a:avLst/>
        </a:prstGeom>
      </xdr:spPr>
    </xdr:pic>
    <xdr:clientData/>
  </xdr:twoCellAnchor>
  <xdr:twoCellAnchor editAs="oneCell">
    <xdr:from>
      <xdr:col>16</xdr:col>
      <xdr:colOff>61809</xdr:colOff>
      <xdr:row>1</xdr:row>
      <xdr:rowOff>40319</xdr:rowOff>
    </xdr:from>
    <xdr:to>
      <xdr:col>16</xdr:col>
      <xdr:colOff>384721</xdr:colOff>
      <xdr:row>2</xdr:row>
      <xdr:rowOff>115557</xdr:rowOff>
    </xdr:to>
    <xdr:pic>
      <xdr:nvPicPr>
        <xdr:cNvPr id="72" name="Graphic 150" descr="Bitcoin with solid fill">
          <a:extLst>
            <a:ext uri="{FF2B5EF4-FFF2-40B4-BE49-F238E27FC236}">
              <a16:creationId xmlns:a16="http://schemas.microsoft.com/office/drawing/2014/main" id="{5383D774-01E9-40F0-AA9C-2834DF29B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7"/>
            </a:ext>
          </a:extLst>
        </a:blip>
        <a:stretch>
          <a:fillRect/>
        </a:stretch>
      </xdr:blipFill>
      <xdr:spPr>
        <a:xfrm>
          <a:off x="9556329" y="291779"/>
          <a:ext cx="322912" cy="326698"/>
        </a:xfrm>
        <a:prstGeom prst="rect">
          <a:avLst/>
        </a:prstGeom>
      </xdr:spPr>
    </xdr:pic>
    <xdr:clientData/>
  </xdr:twoCellAnchor>
  <xdr:twoCellAnchor editAs="oneCell">
    <xdr:from>
      <xdr:col>20</xdr:col>
      <xdr:colOff>30480</xdr:colOff>
      <xdr:row>1</xdr:row>
      <xdr:rowOff>24203</xdr:rowOff>
    </xdr:from>
    <xdr:to>
      <xdr:col>20</xdr:col>
      <xdr:colOff>390235</xdr:colOff>
      <xdr:row>2</xdr:row>
      <xdr:rowOff>136284</xdr:rowOff>
    </xdr:to>
    <xdr:pic>
      <xdr:nvPicPr>
        <xdr:cNvPr id="73" name="Graphic 151" descr="Tax with solid fill">
          <a:extLst>
            <a:ext uri="{FF2B5EF4-FFF2-40B4-BE49-F238E27FC236}">
              <a16:creationId xmlns:a16="http://schemas.microsoft.com/office/drawing/2014/main" id="{99D04F8F-AC60-4AFB-8429-60252DD6B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9"/>
            </a:ext>
          </a:extLst>
        </a:blip>
        <a:stretch>
          <a:fillRect/>
        </a:stretch>
      </xdr:blipFill>
      <xdr:spPr>
        <a:xfrm>
          <a:off x="11727180" y="275663"/>
          <a:ext cx="359755" cy="3635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457200</xdr:colOff>
      <xdr:row>2</xdr:row>
      <xdr:rowOff>204531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FC7FD5E7-82E4-4353-8E39-52AB72775092}"/>
            </a:ext>
          </a:extLst>
        </xdr:cNvPr>
        <xdr:cNvSpPr/>
      </xdr:nvSpPr>
      <xdr:spPr>
        <a:xfrm>
          <a:off x="2887980" y="25146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0</xdr:colOff>
      <xdr:row>1</xdr:row>
      <xdr:rowOff>7620</xdr:rowOff>
    </xdr:from>
    <xdr:to>
      <xdr:col>8</xdr:col>
      <xdr:colOff>457200</xdr:colOff>
      <xdr:row>2</xdr:row>
      <xdr:rowOff>214663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E2BB4A27-0F4C-4C9D-B542-FCD60B9A45AB}"/>
            </a:ext>
          </a:extLst>
        </xdr:cNvPr>
        <xdr:cNvSpPr/>
      </xdr:nvSpPr>
      <xdr:spPr>
        <a:xfrm>
          <a:off x="5090160" y="25908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457200</xdr:colOff>
      <xdr:row>2</xdr:row>
      <xdr:rowOff>207043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4D5DCCA9-FB3F-44B9-828E-78DD3454857F}"/>
            </a:ext>
          </a:extLst>
        </xdr:cNvPr>
        <xdr:cNvSpPr/>
      </xdr:nvSpPr>
      <xdr:spPr>
        <a:xfrm>
          <a:off x="7292340" y="251460"/>
          <a:ext cx="457200" cy="45850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0</xdr:colOff>
      <xdr:row>1</xdr:row>
      <xdr:rowOff>7620</xdr:rowOff>
    </xdr:from>
    <xdr:to>
      <xdr:col>16</xdr:col>
      <xdr:colOff>457200</xdr:colOff>
      <xdr:row>2</xdr:row>
      <xdr:rowOff>217594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8B21EA48-50F3-4286-B402-D1CC7312F347}"/>
            </a:ext>
          </a:extLst>
        </xdr:cNvPr>
        <xdr:cNvSpPr/>
      </xdr:nvSpPr>
      <xdr:spPr>
        <a:xfrm>
          <a:off x="9494520" y="25908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457200</xdr:colOff>
      <xdr:row>7</xdr:row>
      <xdr:rowOff>212151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B2140E22-B767-41B8-853E-74C1A395FD30}"/>
            </a:ext>
          </a:extLst>
        </xdr:cNvPr>
        <xdr:cNvSpPr/>
      </xdr:nvSpPr>
      <xdr:spPr>
        <a:xfrm>
          <a:off x="2887980" y="151638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182880</xdr:colOff>
      <xdr:row>5</xdr:row>
      <xdr:rowOff>144780</xdr:rowOff>
    </xdr:from>
    <xdr:to>
      <xdr:col>4</xdr:col>
      <xdr:colOff>464845</xdr:colOff>
      <xdr:row>7</xdr:row>
      <xdr:rowOff>210329</xdr:rowOff>
    </xdr:to>
    <xdr:sp macro="" textlink="">
      <xdr:nvSpPr>
        <xdr:cNvPr id="39" name="TextBox 145">
          <a:extLst>
            <a:ext uri="{FF2B5EF4-FFF2-40B4-BE49-F238E27FC236}">
              <a16:creationId xmlns:a16="http://schemas.microsoft.com/office/drawing/2014/main" id="{ED883ED7-0B91-4595-8408-C2A1C8EA7E20}"/>
            </a:ext>
          </a:extLst>
        </xdr:cNvPr>
        <xdr:cNvSpPr txBox="1"/>
      </xdr:nvSpPr>
      <xdr:spPr>
        <a:xfrm>
          <a:off x="2880360" y="1402080"/>
          <a:ext cx="472465" cy="56846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400">
              <a:solidFill>
                <a:srgbClr val="CC99FF"/>
              </a:solidFill>
              <a:latin typeface="supermarket" panose="02000000000000000000" pitchFamily="2" charset="0"/>
              <a:cs typeface="supermarket" panose="02000000000000000000" pitchFamily="2" charset="0"/>
            </a:rPr>
            <a:t>Q1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457200</xdr:colOff>
      <xdr:row>2</xdr:row>
      <xdr:rowOff>209974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251B8BBC-A8EA-4123-90F2-B16F92B7F7ED}"/>
            </a:ext>
          </a:extLst>
        </xdr:cNvPr>
        <xdr:cNvSpPr/>
      </xdr:nvSpPr>
      <xdr:spPr>
        <a:xfrm>
          <a:off x="11696700" y="251460"/>
          <a:ext cx="457200" cy="46143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2365</xdr:colOff>
      <xdr:row>11</xdr:row>
      <xdr:rowOff>7620</xdr:rowOff>
    </xdr:from>
    <xdr:to>
      <xdr:col>4</xdr:col>
      <xdr:colOff>459565</xdr:colOff>
      <xdr:row>12</xdr:row>
      <xdr:rowOff>212151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5CA6875E-C5D6-4883-8EEA-C60CA123ADA5}"/>
            </a:ext>
          </a:extLst>
        </xdr:cNvPr>
        <xdr:cNvSpPr/>
      </xdr:nvSpPr>
      <xdr:spPr>
        <a:xfrm>
          <a:off x="2890345" y="2773680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2364</xdr:colOff>
      <xdr:row>16</xdr:row>
      <xdr:rowOff>7621</xdr:rowOff>
    </xdr:from>
    <xdr:to>
      <xdr:col>4</xdr:col>
      <xdr:colOff>459564</xdr:colOff>
      <xdr:row>17</xdr:row>
      <xdr:rowOff>212151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27A08DD3-6900-4607-82B5-C4F0E6E599EA}"/>
            </a:ext>
          </a:extLst>
        </xdr:cNvPr>
        <xdr:cNvSpPr/>
      </xdr:nvSpPr>
      <xdr:spPr>
        <a:xfrm>
          <a:off x="2890344" y="4030981"/>
          <a:ext cx="457200" cy="45599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2364</xdr:colOff>
      <xdr:row>21</xdr:row>
      <xdr:rowOff>12875</xdr:rowOff>
    </xdr:from>
    <xdr:to>
      <xdr:col>4</xdr:col>
      <xdr:colOff>459564</xdr:colOff>
      <xdr:row>22</xdr:row>
      <xdr:rowOff>217406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14D1991D-D3DE-4FCC-B407-ED228BEC85A5}"/>
            </a:ext>
          </a:extLst>
        </xdr:cNvPr>
        <xdr:cNvSpPr/>
      </xdr:nvSpPr>
      <xdr:spPr>
        <a:xfrm>
          <a:off x="2890344" y="5293535"/>
          <a:ext cx="457200" cy="45599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163286</xdr:colOff>
      <xdr:row>6</xdr:row>
      <xdr:rowOff>1</xdr:rowOff>
    </xdr:from>
    <xdr:to>
      <xdr:col>15</xdr:col>
      <xdr:colOff>10886</xdr:colOff>
      <xdr:row>15</xdr:row>
      <xdr:rowOff>10886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293FDDAC-3240-482F-B61F-F45C5A9FD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15</xdr:row>
      <xdr:rowOff>228600</xdr:rowOff>
    </xdr:from>
    <xdr:to>
      <xdr:col>12</xdr:col>
      <xdr:colOff>489857</xdr:colOff>
      <xdr:row>25</xdr:row>
      <xdr:rowOff>10885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4346F9D0-2135-45CF-A38B-9AAA60D12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751109</xdr:colOff>
      <xdr:row>15</xdr:row>
      <xdr:rowOff>219075</xdr:rowOff>
    </xdr:from>
    <xdr:to>
      <xdr:col>18</xdr:col>
      <xdr:colOff>3260</xdr:colOff>
      <xdr:row>25</xdr:row>
      <xdr:rowOff>1360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87DA27A8-3A0A-4010-BE03-86C933F42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9525</xdr:colOff>
      <xdr:row>5</xdr:row>
      <xdr:rowOff>242888</xdr:rowOff>
    </xdr:from>
    <xdr:to>
      <xdr:col>23</xdr:col>
      <xdr:colOff>9525</xdr:colOff>
      <xdr:row>15</xdr:row>
      <xdr:rowOff>28575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ADC540A3-AE03-4F89-8B19-56FBB8A18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590550</xdr:colOff>
      <xdr:row>4</xdr:row>
      <xdr:rowOff>19050</xdr:rowOff>
    </xdr:from>
    <xdr:to>
      <xdr:col>6</xdr:col>
      <xdr:colOff>685800</xdr:colOff>
      <xdr:row>4</xdr:row>
      <xdr:rowOff>228600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E2753F3F-1102-4788-8906-1C6275033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590550</xdr:colOff>
      <xdr:row>9</xdr:row>
      <xdr:rowOff>9525</xdr:rowOff>
    </xdr:from>
    <xdr:to>
      <xdr:col>6</xdr:col>
      <xdr:colOff>685800</xdr:colOff>
      <xdr:row>9</xdr:row>
      <xdr:rowOff>219075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5E2131F8-1A6A-451D-9922-CC86ECC68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619125</xdr:colOff>
      <xdr:row>14</xdr:row>
      <xdr:rowOff>9525</xdr:rowOff>
    </xdr:from>
    <xdr:to>
      <xdr:col>6</xdr:col>
      <xdr:colOff>714375</xdr:colOff>
      <xdr:row>14</xdr:row>
      <xdr:rowOff>219075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3B073166-E7D3-4C00-A2BF-1BB09FA9E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615114</xdr:colOff>
      <xdr:row>24</xdr:row>
      <xdr:rowOff>1506</xdr:rowOff>
    </xdr:from>
    <xdr:to>
      <xdr:col>6</xdr:col>
      <xdr:colOff>710364</xdr:colOff>
      <xdr:row>24</xdr:row>
      <xdr:rowOff>216069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68B807D-C022-4A4E-B2DD-7EE9AFE82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3</xdr:row>
      <xdr:rowOff>238125</xdr:rowOff>
    </xdr:from>
    <xdr:to>
      <xdr:col>10</xdr:col>
      <xdr:colOff>685800</xdr:colOff>
      <xdr:row>4</xdr:row>
      <xdr:rowOff>200025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3A37E6FD-2911-4E39-8659-87AF0BF0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552450</xdr:colOff>
      <xdr:row>3</xdr:row>
      <xdr:rowOff>238125</xdr:rowOff>
    </xdr:from>
    <xdr:to>
      <xdr:col>14</xdr:col>
      <xdr:colOff>647700</xdr:colOff>
      <xdr:row>4</xdr:row>
      <xdr:rowOff>200025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571932D4-EDCD-45C1-B8ED-521312FDB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571500</xdr:colOff>
      <xdr:row>3</xdr:row>
      <xdr:rowOff>219075</xdr:rowOff>
    </xdr:from>
    <xdr:to>
      <xdr:col>18</xdr:col>
      <xdr:colOff>666750</xdr:colOff>
      <xdr:row>4</xdr:row>
      <xdr:rowOff>180975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7A4C8E0C-7B5A-4F6C-8426-A1E7654D0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561975</xdr:colOff>
      <xdr:row>3</xdr:row>
      <xdr:rowOff>219075</xdr:rowOff>
    </xdr:from>
    <xdr:to>
      <xdr:col>22</xdr:col>
      <xdr:colOff>657225</xdr:colOff>
      <xdr:row>4</xdr:row>
      <xdr:rowOff>180975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EF2E87AB-5BC8-4A5D-AD67-26B22A74A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206829</xdr:colOff>
      <xdr:row>15</xdr:row>
      <xdr:rowOff>206829</xdr:rowOff>
    </xdr:from>
    <xdr:to>
      <xdr:col>23</xdr:col>
      <xdr:colOff>1</xdr:colOff>
      <xdr:row>24</xdr:row>
      <xdr:rowOff>239486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CC5D7B12-F90E-4666-A229-12A633A18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4</xdr:col>
      <xdr:colOff>89481</xdr:colOff>
      <xdr:row>1</xdr:row>
      <xdr:rowOff>57629</xdr:rowOff>
    </xdr:from>
    <xdr:to>
      <xdr:col>4</xdr:col>
      <xdr:colOff>395372</xdr:colOff>
      <xdr:row>2</xdr:row>
      <xdr:rowOff>111491</xdr:rowOff>
    </xdr:to>
    <xdr:pic>
      <xdr:nvPicPr>
        <xdr:cNvPr id="66" name="Graphic 15" descr="Document with solid fill">
          <a:extLst>
            <a:ext uri="{FF2B5EF4-FFF2-40B4-BE49-F238E27FC236}">
              <a16:creationId xmlns:a16="http://schemas.microsoft.com/office/drawing/2014/main" id="{111436B3-C42D-4B74-8359-A94D7B392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2985081" y="308000"/>
          <a:ext cx="305891" cy="304234"/>
        </a:xfrm>
        <a:prstGeom prst="rect">
          <a:avLst/>
        </a:prstGeom>
      </xdr:spPr>
    </xdr:pic>
    <xdr:clientData/>
  </xdr:twoCellAnchor>
  <xdr:twoCellAnchor editAs="oneCell">
    <xdr:from>
      <xdr:col>4</xdr:col>
      <xdr:colOff>60032</xdr:colOff>
      <xdr:row>11</xdr:row>
      <xdr:rowOff>56414</xdr:rowOff>
    </xdr:from>
    <xdr:to>
      <xdr:col>4</xdr:col>
      <xdr:colOff>390561</xdr:colOff>
      <xdr:row>12</xdr:row>
      <xdr:rowOff>136124</xdr:rowOff>
    </xdr:to>
    <xdr:pic>
      <xdr:nvPicPr>
        <xdr:cNvPr id="67" name="Graphic 146" descr="Bar chart with solid fill">
          <a:extLst>
            <a:ext uri="{FF2B5EF4-FFF2-40B4-BE49-F238E27FC236}">
              <a16:creationId xmlns:a16="http://schemas.microsoft.com/office/drawing/2014/main" id="{441C3CDF-BC9E-4F73-A1FA-97F090600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955632" y="2810500"/>
          <a:ext cx="330529" cy="330081"/>
        </a:xfrm>
        <a:prstGeom prst="rect">
          <a:avLst/>
        </a:prstGeom>
      </xdr:spPr>
    </xdr:pic>
    <xdr:clientData/>
  </xdr:twoCellAnchor>
  <xdr:twoCellAnchor editAs="oneCell">
    <xdr:from>
      <xdr:col>3</xdr:col>
      <xdr:colOff>195942</xdr:colOff>
      <xdr:row>15</xdr:row>
      <xdr:rowOff>233942</xdr:rowOff>
    </xdr:from>
    <xdr:to>
      <xdr:col>4</xdr:col>
      <xdr:colOff>448082</xdr:colOff>
      <xdr:row>17</xdr:row>
      <xdr:rowOff>183723</xdr:rowOff>
    </xdr:to>
    <xdr:pic>
      <xdr:nvPicPr>
        <xdr:cNvPr id="68" name="Graphic 148" descr="User network outline">
          <a:extLst>
            <a:ext uri="{FF2B5EF4-FFF2-40B4-BE49-F238E27FC236}">
              <a16:creationId xmlns:a16="http://schemas.microsoft.com/office/drawing/2014/main" id="{EB4A6B32-B4A5-44E6-91B5-E2AA2FED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>
          <a:off x="2895599" y="3989513"/>
          <a:ext cx="448083" cy="450524"/>
        </a:xfrm>
        <a:prstGeom prst="rect">
          <a:avLst/>
        </a:prstGeom>
      </xdr:spPr>
    </xdr:pic>
    <xdr:clientData/>
  </xdr:twoCellAnchor>
  <xdr:twoCellAnchor editAs="oneCell">
    <xdr:from>
      <xdr:col>4</xdr:col>
      <xdr:colOff>42873</xdr:colOff>
      <xdr:row>21</xdr:row>
      <xdr:rowOff>41850</xdr:rowOff>
    </xdr:from>
    <xdr:to>
      <xdr:col>4</xdr:col>
      <xdr:colOff>410071</xdr:colOff>
      <xdr:row>22</xdr:row>
      <xdr:rowOff>163331</xdr:rowOff>
    </xdr:to>
    <xdr:pic>
      <xdr:nvPicPr>
        <xdr:cNvPr id="69" name="Graphic 147" descr="Lightbulb and gear with solid fill">
          <a:extLst>
            <a:ext uri="{FF2B5EF4-FFF2-40B4-BE49-F238E27FC236}">
              <a16:creationId xmlns:a16="http://schemas.microsoft.com/office/drawing/2014/main" id="{B48094AF-4743-47E9-9A33-2A24EFE8C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>
          <a:off x="2938473" y="5299650"/>
          <a:ext cx="367198" cy="371852"/>
        </a:xfrm>
        <a:prstGeom prst="rect">
          <a:avLst/>
        </a:prstGeom>
      </xdr:spPr>
    </xdr:pic>
    <xdr:clientData/>
  </xdr:twoCellAnchor>
  <xdr:twoCellAnchor editAs="oneCell">
    <xdr:from>
      <xdr:col>8</xdr:col>
      <xdr:colOff>38355</xdr:colOff>
      <xdr:row>1</xdr:row>
      <xdr:rowOff>10885</xdr:rowOff>
    </xdr:from>
    <xdr:to>
      <xdr:col>8</xdr:col>
      <xdr:colOff>415545</xdr:colOff>
      <xdr:row>2</xdr:row>
      <xdr:rowOff>138800</xdr:rowOff>
    </xdr:to>
    <xdr:pic>
      <xdr:nvPicPr>
        <xdr:cNvPr id="70" name="Graphic 3" descr="Money with solid fill">
          <a:extLst>
            <a:ext uri="{FF2B5EF4-FFF2-40B4-BE49-F238E27FC236}">
              <a16:creationId xmlns:a16="http://schemas.microsoft.com/office/drawing/2014/main" id="{FA324F33-311F-4C21-90D3-ECE2560A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3"/>
            </a:ext>
          </a:extLst>
        </a:blip>
        <a:stretch>
          <a:fillRect/>
        </a:stretch>
      </xdr:blipFill>
      <xdr:spPr>
        <a:xfrm>
          <a:off x="5143755" y="261256"/>
          <a:ext cx="377190" cy="378287"/>
        </a:xfrm>
        <a:prstGeom prst="rect">
          <a:avLst/>
        </a:prstGeom>
      </xdr:spPr>
    </xdr:pic>
    <xdr:clientData/>
  </xdr:twoCellAnchor>
  <xdr:twoCellAnchor editAs="oneCell">
    <xdr:from>
      <xdr:col>12</xdr:col>
      <xdr:colOff>68816</xdr:colOff>
      <xdr:row>1</xdr:row>
      <xdr:rowOff>24457</xdr:rowOff>
    </xdr:from>
    <xdr:to>
      <xdr:col>12</xdr:col>
      <xdr:colOff>406471</xdr:colOff>
      <xdr:row>2</xdr:row>
      <xdr:rowOff>112147</xdr:rowOff>
    </xdr:to>
    <xdr:pic>
      <xdr:nvPicPr>
        <xdr:cNvPr id="71" name="Graphic 149" descr="Dollar with solid fill">
          <a:extLst>
            <a:ext uri="{FF2B5EF4-FFF2-40B4-BE49-F238E27FC236}">
              <a16:creationId xmlns:a16="http://schemas.microsoft.com/office/drawing/2014/main" id="{9943F32B-64A4-4502-9E77-A498E369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tretch>
          <a:fillRect/>
        </a:stretch>
      </xdr:blipFill>
      <xdr:spPr>
        <a:xfrm>
          <a:off x="7384016" y="274828"/>
          <a:ext cx="337655" cy="338062"/>
        </a:xfrm>
        <a:prstGeom prst="rect">
          <a:avLst/>
        </a:prstGeom>
      </xdr:spPr>
    </xdr:pic>
    <xdr:clientData/>
  </xdr:twoCellAnchor>
  <xdr:twoCellAnchor editAs="oneCell">
    <xdr:from>
      <xdr:col>16</xdr:col>
      <xdr:colOff>75897</xdr:colOff>
      <xdr:row>1</xdr:row>
      <xdr:rowOff>46850</xdr:rowOff>
    </xdr:from>
    <xdr:to>
      <xdr:col>16</xdr:col>
      <xdr:colOff>398809</xdr:colOff>
      <xdr:row>2</xdr:row>
      <xdr:rowOff>122728</xdr:rowOff>
    </xdr:to>
    <xdr:pic>
      <xdr:nvPicPr>
        <xdr:cNvPr id="72" name="Graphic 150" descr="Bitcoin with solid fill">
          <a:extLst>
            <a:ext uri="{FF2B5EF4-FFF2-40B4-BE49-F238E27FC236}">
              <a16:creationId xmlns:a16="http://schemas.microsoft.com/office/drawing/2014/main" id="{B398F704-7E20-4500-84AB-7B50F558D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7"/>
            </a:ext>
          </a:extLst>
        </a:blip>
        <a:stretch>
          <a:fillRect/>
        </a:stretch>
      </xdr:blipFill>
      <xdr:spPr>
        <a:xfrm>
          <a:off x="9600897" y="297221"/>
          <a:ext cx="322912" cy="326250"/>
        </a:xfrm>
        <a:prstGeom prst="rect">
          <a:avLst/>
        </a:prstGeom>
      </xdr:spPr>
    </xdr:pic>
    <xdr:clientData/>
  </xdr:twoCellAnchor>
  <xdr:twoCellAnchor editAs="oneCell">
    <xdr:from>
      <xdr:col>20</xdr:col>
      <xdr:colOff>45273</xdr:colOff>
      <xdr:row>1</xdr:row>
      <xdr:rowOff>30734</xdr:rowOff>
    </xdr:from>
    <xdr:to>
      <xdr:col>20</xdr:col>
      <xdr:colOff>412648</xdr:colOff>
      <xdr:row>2</xdr:row>
      <xdr:rowOff>143455</xdr:rowOff>
    </xdr:to>
    <xdr:pic>
      <xdr:nvPicPr>
        <xdr:cNvPr id="73" name="Graphic 151" descr="Tax with solid fill">
          <a:extLst>
            <a:ext uri="{FF2B5EF4-FFF2-40B4-BE49-F238E27FC236}">
              <a16:creationId xmlns:a16="http://schemas.microsoft.com/office/drawing/2014/main" id="{459BF788-B73A-4A2F-BF2B-46F45D6FD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9"/>
            </a:ext>
          </a:extLst>
        </a:blip>
        <a:stretch>
          <a:fillRect/>
        </a:stretch>
      </xdr:blipFill>
      <xdr:spPr>
        <a:xfrm>
          <a:off x="11780073" y="281105"/>
          <a:ext cx="367375" cy="3630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sak Boonyapranai" refreshedDate="44993.010489236112" createdVersion="6" refreshedVersion="6" minRefreshableVersion="3" recordCount="20" xr:uid="{9C5FAB8D-F4A5-4980-907D-497D923AB032}">
  <cacheSource type="worksheet">
    <worksheetSource ref="A1:I21" sheet="ผลงานตีพิมพ์"/>
  </cacheSource>
  <cacheFields count="9">
    <cacheField name="No." numFmtId="0">
      <sharedItems containsSemiMixedTypes="0" containsString="0" containsNumber="1" containsInteger="1" minValue="1" maxValue="20"/>
    </cacheField>
    <cacheField name="Title" numFmtId="0">
      <sharedItems longText="1"/>
    </cacheField>
    <cacheField name="Authors" numFmtId="0">
      <sharedItems longText="1"/>
    </cacheField>
    <cacheField name="Scopus Author Ids" numFmtId="0">
      <sharedItems longText="1"/>
    </cacheField>
    <cacheField name="Year" numFmtId="0">
      <sharedItems containsSemiMixedTypes="0" containsString="0" containsNumber="1" containsInteger="1" minValue="2023" maxValue="2023"/>
    </cacheField>
    <cacheField name="Scopus Source title" numFmtId="0">
      <sharedItems/>
    </cacheField>
    <cacheField name="SJR (publication year)" numFmtId="0">
      <sharedItems/>
    </cacheField>
    <cacheField name="SJR percentile (publication year) *" numFmtId="0">
      <sharedItems containsSemiMixedTypes="0" containsString="0" containsNumber="1" containsInteger="1" minValue="3" maxValue="71"/>
    </cacheField>
    <cacheField name="Quartile" numFmtId="0">
      <sharedItems containsSemiMixedTypes="0" containsString="0" containsNumber="1" containsInteger="1" minValue="1" maxValue="3" count="3">
        <n v="1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sak Boonyapranai" refreshedDate="44993.892169791667" createdVersion="6" refreshedVersion="6" minRefreshableVersion="3" recordCount="28" xr:uid="{0C4EF0E1-3BC6-46DD-B90E-0955F9E3F2B9}">
  <cacheSource type="worksheet">
    <worksheetSource ref="A1:N29" sheet="ทุนวิจัย"/>
  </cacheSource>
  <cacheFields count="14">
    <cacheField name="No" numFmtId="0">
      <sharedItems containsString="0" containsBlank="1" containsNumber="1" containsInteger="1" minValue="1" maxValue="26"/>
    </cacheField>
    <cacheField name="วันที่" numFmtId="0">
      <sharedItems containsDate="1" containsBlank="1" containsMixedTypes="1" minDate="2023-01-04T00:00:00" maxDate="2023-02-07T00:00:00"/>
    </cacheField>
    <cacheField name="CMU MIS" numFmtId="0">
      <sharedItems containsBlank="1"/>
    </cacheField>
    <cacheField name="Project name" numFmtId="0">
      <sharedItems containsBlank="1" longText="1"/>
    </cacheField>
    <cacheField name="PI" numFmtId="0">
      <sharedItems containsBlank="1"/>
    </cacheField>
    <cacheField name="Research center" numFmtId="0">
      <sharedItems containsBlank="1" count="3">
        <m/>
        <s v="IDSU"/>
        <s v="NINE"/>
      </sharedItems>
    </cacheField>
    <cacheField name="ม.ค." numFmtId="0">
      <sharedItems containsString="0" containsBlank="1" containsNumber="1" minValue="11000" maxValue="1500000"/>
    </cacheField>
    <cacheField name="ก.พ." numFmtId="0">
      <sharedItems containsString="0" containsBlank="1" containsNumber="1" minValue="16500" maxValue="8419784.9100000001"/>
    </cacheField>
    <cacheField name="มี.ค." numFmtId="0">
      <sharedItems containsString="0" containsBlank="1" containsNumber="1" minValue="1237406.8600000001" maxValue="1237406.8600000001"/>
    </cacheField>
    <cacheField name="รวม" numFmtId="0">
      <sharedItems containsString="0" containsBlank="1" containsNumber="1" minValue="11000" maxValue="8419784.9100000001"/>
    </cacheField>
    <cacheField name="ชื่อย่อโครงการ" numFmtId="0">
      <sharedItems containsBlank="1"/>
    </cacheField>
    <cacheField name="แหล่งทุน" numFmtId="0">
      <sharedItems containsBlank="1"/>
    </cacheField>
    <cacheField name="ประเภทแหล่งทุน_x000a_(มช./ในประเทศ/นอกประเทศ)" numFmtId="0">
      <sharedItems containsBlank="1" count="4">
        <m/>
        <s v="ทุนวิจัยภายนอกประเทศ"/>
        <s v="ทุนวิจัยภายในประเทศ"/>
        <s v="มหาวิทยาลัยเชียงใหม่"/>
      </sharedItems>
    </cacheField>
    <cacheField name="สังกัด_x000a_(ภาครัฐ/ภาคเอกชน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sak Boonyapranai" refreshedDate="44994.006014351849" createdVersion="6" refreshedVersion="6" minRefreshableVersion="3" recordCount="31" xr:uid="{E969FDDD-E600-432C-95AF-3E6EB6FAF8AC}">
  <cacheSource type="worksheet">
    <worksheetSource ref="A1:E32" sheet="นักวิจัย"/>
  </cacheSource>
  <cacheFields count="5">
    <cacheField name="No." numFmtId="0">
      <sharedItems containsSemiMixedTypes="0" containsString="0" containsNumber="1" containsInteger="1" minValue="1" maxValue="31"/>
    </cacheField>
    <cacheField name="Name" numFmtId="0">
      <sharedItems/>
    </cacheField>
    <cacheField name="h-index" numFmtId="0">
      <sharedItems containsSemiMixedTypes="0" containsString="0" containsNumber="1" containsInteger="1" minValue="2" maxValue="38"/>
    </cacheField>
    <cacheField name="Scopus author ID" numFmtId="0">
      <sharedItems containsString="0" containsBlank="1" containsNumber="1" containsInteger="1" minValue="6503874197" maxValue="57219127545"/>
    </cacheField>
    <cacheField name="Research center" numFmtId="0">
      <sharedItems count="3">
        <s v="NINE"/>
        <s v="ISDU"/>
        <s v="CMB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s v="Antioxidant Activities and Characterization of Polyphenols from Selected Northern Thai Rice Husks: Relation with Seed Attributes"/>
    <s v="Wisetkomolmat, J.| Arjin, C.| Hongsibsong, S.| Ruksiriwanich, W.| Niwat, C.| Tiyayon, P.| Jamjod, S.| Yamuangmorn, S.| Prom-U-Thai, C.| Sringarm, K."/>
    <s v="57215416673| 57216199741| 35763581100| 36097575200| 15065727300| 36844665000| 6506781260| 57201669603| 14023330900| 55553831600"/>
    <n v="2023"/>
    <s v="Rice Science"/>
    <s v="-"/>
    <n v="14"/>
    <x v="0"/>
  </r>
  <r>
    <n v="2"/>
    <s v="Expert review of global real-world data on COVID-19 vaccine booster effectiveness and safety during the omicron-dominant phase of the pandemic"/>
    <s v="Solante, R.| Alvarez-Moreno, C.| Burhan, E.| Chariyalertsak, S.| Chiu, N.-C.| Chuenkitmongkol, S.| Dung, D.V.| Hwang, K.-P.| Ortiz Ibarra, J.| Kiertiburanakul, S.| Kulkarni, P.S.| Lee, C.| Lee, P.-I.| Lobo, R.C.| Macias, A.| Nghia, C.H.| Ong-Lim, A.L.| Rodriguez-Morales, A.J.| Richtmann, R.| Safadi, M.A.P.| Satari, H.I.| Thwaites, G."/>
    <s v="8728553100| 57221557200| 36058554600| 6701823706| 7006177196| 25721828800| 57969379200| 7402426564| 57849392300| 6506539792| 57792284900| 57942467900| 7406120769| 57791287700| 57850821200| 26768042700| 6505744075| 8886801000| 6603477810| 15049739000| 57191347814| 6603796838"/>
    <n v="2023"/>
    <s v="Expert Review of Vaccines"/>
    <s v="-"/>
    <n v="7"/>
    <x v="0"/>
  </r>
  <r>
    <n v="3"/>
    <s v="Safety of Carotid Endarterectomy for Symptomatic Stenosis by Age: Meta-Analysis with Individual Patient Data"/>
    <s v="Leung, Y.Y.R.| Bera, K.| Urriza Rodriguez, D.| Dardik, A.| Mas, J.-L.| Simonte, G.| Rerkasem, K.| Howard, D.P.J."/>
    <s v="58074024800| 57227546600| 56134310500| 7003537020| 7102288811| 54786917300| 8659870200| 10440211400"/>
    <n v="2023"/>
    <s v="Stroke"/>
    <s v="-"/>
    <n v="3"/>
    <x v="0"/>
  </r>
  <r>
    <n v="4"/>
    <s v="Ideal cardiovascular health and all-cause or cardiovascular mortality in a longitudinal study of the Thai National Health Examination Survey IV and V"/>
    <s v="Aekplakorn, W.| Neelapaichit, N.| Chariyalertsak, S.| Kessomboon, P.| Assanangkornchai, S.| Taneepanichskul, S.| Sangwatanaroj, S.| Laohavinij, W.| Nonthaluck, J."/>
    <s v="6603565133| 56210861300| 6701823706| 11539835000| 6603003749| 56204069300| 6602181236| 57053423700| 55279781300"/>
    <n v="2023"/>
    <s v="Scientific Reports"/>
    <s v="-"/>
    <n v="8"/>
    <x v="0"/>
  </r>
  <r>
    <n v="5"/>
    <s v="Reduction in severity and mortality in COVID-19 patients owing to heterologous third and fourth-dose vaccines during the periods of delta and omicron predominance in Thailand"/>
    <s v="Intawong, K.| Chariyalertsak, S.| Chalom, K.| Wonghirundecha, T.| Kowatcharakul, W.| Ayood, P.| Thongprachum, A.| Chotirosniramit, N.| Noppakun, K.| Khwanngern, K.| Teacharak, W.| Piamanant, P.| Khammawan, P."/>
    <s v="55861000300| 6701823706| 57223086060| 57819511700| 57217501067| 57211047304| 24077240200| 8659870300| 6504189748| 15845771300| 57820208100| 57996501400| 57820380400"/>
    <n v="2023"/>
    <s v="International Journal of Infectious Diseases"/>
    <s v="-"/>
    <n v="5"/>
    <x v="0"/>
  </r>
  <r>
    <n v="6"/>
    <s v="Antioxidant, Anti-Diabetic, Anti-Obesity, and Antihypertensive Properties of Protein Hydrolysate and Peptide Fractions from Black Sesame Cake"/>
    <s v="Chaipoot, S.| Punfa, W.| Ounjaijean, S.| Phongphisutthinant, R.| Kulprachakarn, K.| Parklak, W.| Phaworn, L.| Rotphet, P.| Boonyapranai, K."/>
    <s v="57211442803| 54406010000| 16314391500| 57198801872| 56514051100| 57079068000| 58044564000| 58044564100| 27867469100"/>
    <n v="2023"/>
    <s v="Molecules"/>
    <s v="-"/>
    <n v="23"/>
    <x v="0"/>
  </r>
  <r>
    <n v="7"/>
    <s v="Diagnostic performance between in-house and commercial SARS-CoV-2 serological immunoassays including binding-specific antibody and surrogate virus neutralization test (sVNT)"/>
    <s v="Winichakoon, P.| Wipasa, J.| Chawansuntati, K.| Salee, P.| Sudjaritruk, T.| Yasri, S.| khamwan, C.| Peerakam, R.| Dankai, D.| Chaiwarith, R."/>
    <s v="56986698000| 6506460324| 6503874197| 25724691300| 36538198800| 57222514577| 6507830420| 58039233300| 55813114500| 13806165200"/>
    <n v="2023"/>
    <s v="Scientific Reports"/>
    <s v="-"/>
    <n v="8"/>
    <x v="0"/>
  </r>
  <r>
    <n v="8"/>
    <s v="A Blooming Springtime"/>
    <s v="Papanas, N.| Papi, M.| Rerkasem, K."/>
    <s v="12763313600| 7003855396| 8659870200"/>
    <n v="2023"/>
    <s v="International Journal of Lower Extremity Wounds"/>
    <s v="-"/>
    <n v="60"/>
    <x v="1"/>
  </r>
  <r>
    <n v="9"/>
    <s v="Stigmatizing and discriminatory attitudes toward people living with HIV/AIDS (PLWHA) among general adult population: the results from the 6th Thai National Health Examination Survey (NHES VI)"/>
    <s v="Chautrakarn, S.| Ong-Artborirak, P.| Naksen, W.| Thongprachum, A.| Wungrath, J.| Chariyalertsak, S.| Stonington, S.| Taneepanichskul, S.| Assanangkornchai, S.| Kessomboon, P.| Neelapaichit, N.| Aekplakorn, W."/>
    <s v="36112770500| 55649178800| 55370393100| 24077240200| 57200014460| 6701823706| 15059409300| 56204069300| 6603003749| 11539835000| 56210861300| 6603565133"/>
    <n v="2023"/>
    <s v="Journal of global health"/>
    <s v="-"/>
    <n v="8"/>
    <x v="0"/>
  </r>
  <r>
    <n v="10"/>
    <s v="Health Risk Assessment from Organophosphate Insecticides Residues in Commonly Consumed Vegetables of Local Markets, Northern Thailand"/>
    <s v="Naksen, W.| Hongsibsong, S.| Xu, Z.-L.| Kosashunhanan, N.| Kerdnoi, T.| Prapamontol, T.| Patarasiriwong, V."/>
    <s v="55370393100| 35763581100| 57927194000| 55554435600| 55793888200| 8517733000| 56703427000"/>
    <n v="2023"/>
    <s v="Journal of Health Research"/>
    <s v="-"/>
    <n v="71"/>
    <x v="1"/>
  </r>
  <r>
    <n v="11"/>
    <s v="Synergistic antimalarial treatment of Plasmodium berghei infection in mice with dihydroartemisinin and Gymnema inodorum leaf extract"/>
    <s v="Ounjaijean, S.| Somsak, V."/>
    <s v="16314391500| 47161561800"/>
    <n v="2023"/>
    <s v="BMC Complementary Medicine and Therapies"/>
    <s v="-"/>
    <n v="11"/>
    <x v="0"/>
  </r>
  <r>
    <n v="12"/>
    <s v="Pharmacokinetics, Tolerability, and Safety of Doravirine and Doravirine/Lamivudine/Tenofovir Disoproxil Fumarate Fixed-Dose Combination Tablets in Adolescents Living with HIV: Week 24 Results from IMPAACT 2014"/>
    <s v="Melvin, A.J.| Yee, K.L.| Gray, K.P.| Yedla, M.| Wan, H.| Tobin, N.H.| Teppler, H.| Campbell, H.| McCarthy, K.| Scheckter, R.| Aurpibul, L.| Ounchanum, P.| Rungmaitree, S.| Cassim, H.| McFarland, E.| Flynn, P.| Cooper, E.| Krotje, C.| Townley, E.| Moye, J.| Best, B.M.| Beck, J.| Sise, T.| Kapogiannis, B.G.| George, K.| Morgan, P.| Woolwine-Cunningham, Y.| Leblanc, R.| Trabert, K.| Mendell, J.| Alvero, C.| Farhad, M.| Pasyar, S.| Muresan, P.| Patel, N.| English, A.| Heince, R.| Jones, S.| McLaud, D.| Hays, S.C.| Dunn, J.| Navarro, K.| Robson, A.| Ndiwani, H.| Mathiba, R.| Violari, A.| Ramsagar, N.| Chotirosniramit, N.| Khamrong, C.| Jantong, J.| Cressy, T.R.| Sukrakanchana, P.-O.| Thaweesombat, Y.| Kaewmamuang, K.| Vanprapar, N.| Chokephaibulkit, K.| Kongstan, N.| Lermankul, W."/>
    <s v="7003354420| 57216168334| 57656042400| 58061463800| 35082993700| 6701639292| 6701388329| 35212955700| 55922509900| 55315100300| 15843258100| 57200558813| 55911634900| 55369559700| 58061487600| 7102268918| 57198242992| 57222659161| 6603217218| 57203530503| 11339308900| 58065566100| 36683111800| 12796875000| 18835168600| 57650557000| 56800929300| 57222165791| 58065566200| 58065705500| 16686176100| 55602676200| 57213171167| 9843584400| 15761024600| 58065287100| 58065846600| 58065152000| 57189925275| 58065846700| 56799730300| 57224955347| 58065705600| 58065427100| 57216656569| 8674786700| 57407438900| 55554599000| 57193453387| 58065428000| 58065706100| 8525046500| 56015391000| 57215507163| 56510305300| 7003974471| 12140215300| 57193483891"/>
    <n v="2023"/>
    <s v="Journal of Acquired Immune Deficiency Syndromes"/>
    <s v="-"/>
    <n v="9"/>
    <x v="0"/>
  </r>
  <r>
    <n v="13"/>
    <s v="Gymnema inodorum Leaf Extract Improves Cardiac Function in Experimental Mice Infected with Plasmodium Berghei"/>
    <s v="Ounjaijean, S.| Rattanatham, R.| Somsak, V.| Boonhoh, W.| Surinkaew, S."/>
    <s v="16314391500| 57233721600| 47161561800| 57207833937| 39161944800"/>
    <n v="2023"/>
    <s v="Journal of Evidence-Based Integrative Medicine"/>
    <s v="-"/>
    <n v="29"/>
    <x v="2"/>
  </r>
  <r>
    <n v="14"/>
    <s v="Placental Transfer Immunity to the Newborns in a Twin Pregnant Women Vaccinated with Heterologous CoronaVac-ChAdOx1"/>
    <s v="Pongsatha, S.| Chawansuntati, K.| Sakkhachornphop, S.| Tongsong, T."/>
    <s v="6701432277| 6503874197| 6508106597| 7004980902"/>
    <n v="2023"/>
    <s v="Vaccines"/>
    <s v="-"/>
    <n v="18"/>
    <x v="0"/>
  </r>
  <r>
    <n v="15"/>
    <s v="Alcohol use, suicidality and virologic non-suppression among young adults with perinatally acquired HIV in Thailand: a cross-sectional study"/>
    <s v="Aurpibul, L.| Kosalaraksa, P.| Kawichai, S.| Lumbiganon, P.| Ounchanum, P.| Natalie Songtaweesin, W.| Sudjaritruk, T.| Chokephaibulkit, K.| Rungmaitree, S.| Suwanlerk, T.| Ross, J.L.| Sohn, A.H.| Puthanakit, T."/>
    <s v="15843258100| 6603500722| 57194466230| 35564244800| 57200558813| 58104182900| 36538198800| 7003974471| 55911634900| 35304321800| 57193109926| 7006405275| 8071686900"/>
    <n v="2023"/>
    <s v="Journal of the International AIDS Society"/>
    <s v="-"/>
    <n v="4"/>
    <x v="0"/>
  </r>
  <r>
    <n v="16"/>
    <s v="Prevalence and factors associated with atrophic gastritis and intestinal metaplasia: A multivariate, hospital-based, statistical analysis"/>
    <s v="Chitapanarux, T.| Kongkarnka, S.| Wannasai, K.| Sripan, P."/>
    <s v="6507255542| 14040542500| 36006657500| 55571003400"/>
    <n v="2023"/>
    <s v="Cancer Epidemiology"/>
    <s v="-"/>
    <n v="35"/>
    <x v="2"/>
  </r>
  <r>
    <n v="17"/>
    <s v="Higher Dose Oral Fluconazole for the Treatment of AIDS-related Cryptococcal Meningitis (HIFLAC)—report of A5225, a multicentre, phase I/II, two-stage, dose-finding, safety, tolerability and efficacy randomised, amphotericin B-controlled trial of the AIDS Clinical Trials Group"/>
    <s v="Lalloo, U.G.| Komarow, L.| Aberg, J.A.| Clifford, D.B.| Hogg, E.| McKhann, A.| Bukuru, A.| Lagat, D.| Pillay, S.| Mave, V.| Supparatpinyo, K.| Samaneka, W.| Langat, D.| Ticona, E.| Badal-Faesen, S.| Larsen, R.A.| Rassool, M.| Mwelase, N.| Mnqibisa, R.| Naidoo, M.| Sanchez, A.| Edmondson, H.| Rwambuya, S.| Siika, A.M.| Lagat, D.K.| Sugandhvesa, P.| Tavornprasit, D.| MacRae, J."/>
    <s v="7003271292| 13608926600| 56622558700| 57541969200| 23008686100| 57207741883| 57203319871| 56161525300| 24503982300| 24778446900| 6602542079| 55347050100| 57203317803| 6602406993| 36093886800| 58100723700| 36107361200| 56145760000| 58106781700| 58106726700| 57199979202| 58106781800| 16305359200| 14521398300| 56161525300| 58106507100| 58106507200| 57203321726"/>
    <n v="2023"/>
    <s v="PLoS ONE"/>
    <s v="-"/>
    <n v="12"/>
    <x v="0"/>
  </r>
  <r>
    <n v="18"/>
    <s v="Safety and Effects of Lactobacillus paracasei TISTR 2593 Supplementation on Improving Cholesterol Metabolism and Atherosclerosis-Related Parameters in Subjects with Hypercholesterolemia: A Randomized, Double-Blind, Placebo-Controlled Clinical Trial"/>
    <s v="Khongrum, J.| Yingthongchai, P.| Boonyapranai, K.| Wongtanasarasin, W.| Aobchecy, P.| Tateing, S.| Prachansuwan, A.| Sitdhipol, J.| Niwasabutra, K.| Thaveethaptaikul, P.| Phapugrangkul, P.| Chonpathompikunlert, P."/>
    <s v="55324247700| 57913611300| 27867469100| 57217094265| 58098455800| 56966779300| 56940877300| 55345617800| 57195322503| 57757756700| 37013726400| 24485430200"/>
    <n v="2023"/>
    <s v="Nutrients"/>
    <s v="-"/>
    <n v="6"/>
    <x v="0"/>
  </r>
  <r>
    <n v="19"/>
    <s v="Formation of biogenic amines in soy sauce and reduction via simple phytochemical addition"/>
    <s v="Zhou, K.| Zhang, X.| Huang, G.-D.| Hongsibsong, S.| Hao, G.| Li, Y.-M.| Yang, J.-Y.| Xu, Z.-L."/>
    <s v="57194536766| 57376992200| 35074102200| 35763581100| 58089307100| 58089427000| 57376992300| 8154887200"/>
    <n v="2023"/>
    <s v="LWT"/>
    <s v="-"/>
    <n v="10"/>
    <x v="0"/>
  </r>
  <r>
    <n v="20"/>
    <s v="The anti-leukemic activity of a luteolin-apigenin enriched fraction from an edible and ethnomedicinal plant, Elsholtzia stachyodes, is exerted through an ER stress/autophagy/cell cycle arrest/ apoptotic cell death signaling axis"/>
    <s v="Kulaphisit, M.| Pomlok, K.| Saenjum, C.| Mungkornasawakul, P.| Trisuwan, K.| Wipasa, J.| Inta, A.| Smith, D.R.| Lithanatudom, P."/>
    <s v="57194773593| 57217135805| 55812213900| 6506577246| 23969701900| 6506460324| 23492241300| 7410365759| 33267773400"/>
    <n v="2023"/>
    <s v="Biomedicine and Pharmacotherapy"/>
    <s v="-"/>
    <n v="14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m/>
    <m/>
    <m/>
    <m/>
    <m/>
    <x v="0"/>
    <m/>
    <m/>
    <m/>
    <m/>
    <m/>
    <m/>
    <x v="0"/>
    <m/>
  </r>
  <r>
    <n v="1"/>
    <d v="2023-01-04T00:00:00"/>
    <s v="R000021606"/>
    <s v="GS-US-380-5310: การศึกษาวิจัยระยะที่ 1 ปี แบบเปิดเผยชื่อยาเพื่อประเมินเภสัชจลนศาสตร์ความปลอดภัยและประสิทธิผลของยาบิคเทกราเวียร์/ยาเะอมไทรซิทาปีน/ยาทีโนโฟเวียร์ อลาฟินาไมด์ (B/F/TAF) ในสตรีมีครรภ์ที่ติดเชื้อเอชไอวีชนิดที่ 1 ที่สามารถควบคุมปริมาณไวรัสได้ในไตรมาสที่2 และไตรมาสที่ 3"/>
    <s v="ลินดา เอื้อไพบูลย์"/>
    <x v="1"/>
    <n v="582809.84"/>
    <m/>
    <m/>
    <n v="582809.84"/>
    <s v="GS-US-380-5310"/>
    <s v="Gilead Sciences, Inc."/>
    <x v="1"/>
    <s v="ภาคเอกชน"/>
  </r>
  <r>
    <n v="2"/>
    <d v="2023-01-09T00:00:00"/>
    <s v="R000018166"/>
    <s v="SAWASDEE: Impact of prenatal insecticide exposure on neurodevelopmental trajectories in a Thai birth cohort: building exposure science and neurodevelopmental research capacity in Thailand"/>
    <s v="ทิพวรรณ ประภามณฑล"/>
    <x v="2"/>
    <n v="318929.68"/>
    <m/>
    <m/>
    <n v="318929.68"/>
    <s v="SAWASDEE"/>
    <s v="National Institutes of Health"/>
    <x v="1"/>
    <s v="ภาครัฐ"/>
  </r>
  <r>
    <n v="3"/>
    <d v="2023-01-09T00:00:00"/>
    <s v="R000027495"/>
    <s v="IMPAACT 2017/MOCHA: Phase I/II Study of the Safety, Acceptability, Tolerability, and Pharmacokinetics of Oral and Long-Acting Injectable Cabotegravir and Long-Acting Injectable Rilpivirine in Virologically Suppressed HIV-Infected Children and Adolescents"/>
    <s v="ลินดา เอื้อไพบูลย์"/>
    <x v="1"/>
    <n v="890169"/>
    <m/>
    <m/>
    <n v="890169"/>
    <s v="IMPAACT 2017/MOCHA"/>
    <s v="National Institutes of Health"/>
    <x v="1"/>
    <s v="ภาครัฐ"/>
  </r>
  <r>
    <n v="4"/>
    <d v="2023-01-09T00:00:00"/>
    <s v="R65EX00054"/>
    <s v="นวัตกรรมชุดทดสอบสารบ่งชีทางชีวภาพจากการรับสัมผัสสารมลภาวะในสิ่งแวดล้อม"/>
    <s v="สุรัตน์ หงษ์สิบสอง"/>
    <x v="2"/>
    <n v="500000"/>
    <m/>
    <m/>
    <n v="500000"/>
    <s v="FF-66-SH"/>
    <s v="กองทุน ววน. ประเภท Fundamental Fund  (Basic Research)"/>
    <x v="2"/>
    <s v="ภาครัฐ"/>
  </r>
  <r>
    <n v="5"/>
    <d v="2023-01-09T00:00:00"/>
    <s v="R65EX00150"/>
    <s v="ความสัมพันธ์ ตัวบ่งชี้ทางสุขภาพ และกลไกระดับโมเลกุลของฝุ่นละอองขนาดเล็ก (PM2.5) จากภาคการเกษตรต่อการเกิดโรคเมตาบอลิก: การศึกษาในระดับเซลล์ สัตว์ทดลอง และในมนุษย์"/>
    <s v="สะแกวัลย์ อุ่นใจจีน"/>
    <x v="2"/>
    <n v="1500000"/>
    <m/>
    <m/>
    <n v="1500000"/>
    <s v="FF66_PM2.5_SO"/>
    <s v="กองทุน ววน. ประเภท Fundamental Fund  (Basic Research)"/>
    <x v="2"/>
    <s v="ภาครัฐ"/>
  </r>
  <r>
    <n v="6"/>
    <d v="2023-01-13T00:00:00"/>
    <s v="R000028672"/>
    <s v="Suicidal behavior among Thai adolescent living with HIV (S-BETAH) study"/>
    <s v="ทวิติยา  สุจริตรักษ์"/>
    <x v="1"/>
    <n v="117727.26"/>
    <m/>
    <m/>
    <n v="117727.26"/>
    <s v="S-BETAH"/>
    <s v="THE FOUNDATION FOR AIDS RESEARCH"/>
    <x v="1"/>
    <s v="ภาคเอกชน"/>
  </r>
  <r>
    <n v="7"/>
    <d v="2023-01-17T00:00:00"/>
    <s v="R000028329"/>
    <s v="BIT225-010: การวิจัยระยะที่ 2 เพื่อศึกษายา BIT225 ซึ่งเป็นสารยับยั้งโปรตีน Vpu ขอเชื้อไวรัสภูมิคุ้มกันบกพร่องในมนุษย์ชนิดที่ 1 (HIV-1) ในผู้ที่ติดเชื้อไวรัสเอชไอวี-1 ที่ไม่เคยได่รับการรักษามาก่อน ซึ่งเรื่มการรักษาด้วยยาต้านไวรัสสูตรผสม (cART) สูตรที่มียาโดลูเทกราเวียร์: การประเมินความปลอดภัยประสิทธิผล และตัวบ่งชี้การเกิดการอักเสบและตัวบ่งชี้การกระตุ้นภูมิคุ้มกัน"/>
    <s v="ขวัญชัย ศุภรัตน์ภิญโญ"/>
    <x v="1"/>
    <n v="163050"/>
    <m/>
    <m/>
    <n v="163050"/>
    <s v="BIT225"/>
    <s v="Biotron Limited"/>
    <x v="1"/>
    <s v="ภาคเอกชน"/>
  </r>
  <r>
    <m/>
    <d v="2023-01-20T00:00:00"/>
    <s v="R000019101"/>
    <s v="GSK205858: Open-label access to dolutegravir for HIV-1 infected children and adolescents completing IMPAACT Study P1093"/>
    <m/>
    <x v="1"/>
    <n v="15559.2"/>
    <m/>
    <m/>
    <n v="15559.2"/>
    <s v="GSK205858"/>
    <s v="ViiV Healthcare UK Limited, a Glaxo SmithKline affiliate (&quot;ViiV&quot;)"/>
    <x v="1"/>
    <s v="ภาคเอกชน"/>
  </r>
  <r>
    <n v="8"/>
    <d v="2023-01-24T00:00:00"/>
    <s v="R000028316"/>
    <s v="A5379: B-Enhancement Of HBV Vaccination In Persons Living With HIV (BEe-HIVe): Evaluation Of HEPLISAV-B"/>
    <s v="ขวัญชัย ศุภรัตน์ภิญโญ"/>
    <x v="1"/>
    <n v="213279.39"/>
    <m/>
    <m/>
    <n v="213279.39"/>
    <s v="A5379"/>
    <s v="National Institutes of Health"/>
    <x v="1"/>
    <s v="ภาครัฐ"/>
  </r>
  <r>
    <n v="9"/>
    <d v="2023-01-25T00:00:00"/>
    <s v="R000030190"/>
    <s v="การตลาดและการขายยาเสพติดบนโลกอินเทอร์เน็ต ปี พ.ศ.2565"/>
    <s v="กนิษฐา ไทยกล้า"/>
    <x v="1"/>
    <n v="360280"/>
    <m/>
    <m/>
    <n v="360280"/>
    <s v="ยาออนไลน์65"/>
    <s v="สำนักงานคณะกรรมการป้องกันและปราบปรามยาเสพติด"/>
    <x v="2"/>
    <s v="ภาครัฐ"/>
  </r>
  <r>
    <n v="10"/>
    <d v="2023-01-30T00:00:00"/>
    <s v="R000032013"/>
    <s v="การศึกษาการเปลี่ยนแปลงของไมโครไบโอมในช่องคลอด และอิทธิพลของฮอร์โมนที่ใช้เพื่อการข้ามเพศที่มีความสัมพันธ์ต่อโรคติดต่อทางเพศสัมพันธ์ในหญิงไทยข้ามเพศ"/>
    <s v="อมราภรณ์ ฤกษ์เกษม"/>
    <x v="1"/>
    <n v="55551.86"/>
    <m/>
    <m/>
    <n v="55551.86"/>
    <s v="UMN-TG-AMR"/>
    <s v="University of Minnesota/OIE Twinning Funding"/>
    <x v="1"/>
    <s v="ภาครัฐ"/>
  </r>
  <r>
    <n v="11"/>
    <d v="2023-01-31T00:00:00"/>
    <s v="R000025469"/>
    <s v="C-Free: การตรวจเลือดเพือหาการติดเชื้อเอชไอวีและไวรัสตับอักเสบและรักษาทันที สำหรับผู้ใช้ยาและคู่ในประเทศไทย: การวิจัยปลอดจากโรคไวรัสตับอักเสบซี"/>
    <s v="นันทิสา โชติรสนิรมิต"/>
    <x v="1"/>
    <n v="11000"/>
    <m/>
    <m/>
    <n v="11000"/>
    <s v="C-Free"/>
    <s v="Dreamlopments LTD"/>
    <x v="2"/>
    <s v="ภาคเอกชน"/>
  </r>
  <r>
    <n v="12"/>
    <d v="2023-02-06T00:00:00"/>
    <s v="R000025590"/>
    <s v="หน่วยวิจัยทางคลินิกด้านเอชไอวี/เอดส์และโรคติดเชื้อประเทศไทย (ไทย ซีทียู, THAI CTU) (พ.ศ.2563-2570)"/>
    <s v="ขวัญชัย ศุภรัตน์ภิญโญ"/>
    <x v="1"/>
    <m/>
    <n v="2906354.56"/>
    <m/>
    <n v="2906354.56"/>
    <s v="THAI CTU"/>
    <s v="National Institutes of Health"/>
    <x v="1"/>
    <s v="ภาครัฐ"/>
  </r>
  <r>
    <n v="13"/>
    <d v="2023-02-06T00:00:00"/>
    <s v="R65EX00053"/>
    <s v="การประเมินผลกระทบสุขภาพจากออกซิเดทีฟโพเท็นเชียลของฝุ่น PM2.5 จากการจำลองเผาชีวมวลที่มีสารเคมีกำจัดศัตรูพืชในภาคสนาม (โครงการย่อย FF66 คณะวิศวกรรมศาสตร์ มช)"/>
    <s v="ทิพวรรณ ประภามณฑล"/>
    <x v="2"/>
    <m/>
    <n v="325000"/>
    <m/>
    <n v="325000"/>
    <s v="FF-66-TP"/>
    <s v="กองทุน ววน. ประเภท Fundamental Fund  (Basic Research)"/>
    <x v="2"/>
    <s v="ภาครัฐ"/>
  </r>
  <r>
    <n v="14"/>
    <s v="10/02/2023"/>
    <s v="R000018165"/>
    <s v="HPTN 083: A phase II observer-blind, multicentre, dose-ranging study of children 6 to less than 36 months of age who are primed with a 2-dose series of GSK Biologicals"/>
    <s v="สุวัฒน์  จริยาเลิศศักดิ์"/>
    <x v="1"/>
    <m/>
    <n v="1411905.6"/>
    <m/>
    <n v="1411905.6"/>
    <s v="HPTN083"/>
    <s v="National Institutes of Health (NIH)"/>
    <x v="1"/>
    <s v="ภาครัฐ"/>
  </r>
  <r>
    <n v="15"/>
    <s v="10/02/2023"/>
    <s v="R000018165"/>
    <s v="HPTN 083: A phase II observer-blind, multicentre, dose-ranging study of children 6 to less than 36 months of age who are primed with a 2-dose series of GSK Biologicals"/>
    <s v="สุวัฒน์  จริยาเลิศศักดิ์"/>
    <x v="1"/>
    <m/>
    <n v="863352"/>
    <m/>
    <n v="863352"/>
    <s v="HPTN083"/>
    <s v="National Institutes of Health (NIH)"/>
    <x v="1"/>
    <s v="ภาครัฐ"/>
  </r>
  <r>
    <n v="16"/>
    <s v="10/02/2023"/>
    <s v="R66EX00041"/>
    <s v="การเฝ้าระวังตลาดบุหรี่ไฟฟ้าบนอินเทอร์เน็ต ปี พ.ศ. 2566"/>
    <s v="กนิษฐา  ไทยกล้า"/>
    <x v="1"/>
    <m/>
    <n v="247000"/>
    <m/>
    <n v="247000"/>
    <s v="บุหรี่ไฟฟ้า 2566"/>
    <s v="ศูนย์วิจัยและจัดการความรู้เพื่อการควบคุมยาสูบ"/>
    <x v="2"/>
    <s v="ภาครัฐ"/>
  </r>
  <r>
    <n v="17"/>
    <s v="13/02/2023"/>
    <s v="R000020583"/>
    <s v="A5332: Randomized Trial to Prevent Vascular Events in HIV (REPRIEVE) (PF ACTG)"/>
    <s v="ขวัญชัย ศุภรัตน์ภิญโญ"/>
    <x v="1"/>
    <m/>
    <n v="240475.2"/>
    <m/>
    <n v="240475.2"/>
    <s v="A5332"/>
    <s v="National Institutes of Health (NIH)"/>
    <x v="1"/>
    <s v="ภาครัฐ"/>
  </r>
  <r>
    <n v="18"/>
    <s v="13/02/2023"/>
    <s v="R000031952"/>
    <s v="ผลแบบฉับพลันของการออกกำลังกายแบบแอโรบิก และการออกกำลังกายด้วยการใช้อุปกรณ์สั่นทั้งตัวต่อการขนย้ายเนื้อเยื่อไขมัน การเผาผลาญไขมัน และการเปลี่ยนแปลงของระบบหัวใจและหลอดเลือดในผู้ที่มีภาวะอ้วน"/>
    <s v="โศธิดา นันตระกูล"/>
    <x v="2"/>
    <m/>
    <n v="25000"/>
    <m/>
    <n v="25000"/>
    <s v="นักวิจัยรุ่นใหม่ 65- ดร.โศธิดา"/>
    <s v="มหาวิทยาลัยเชียงใหม่"/>
    <x v="3"/>
    <s v="ภาครัฐ"/>
  </r>
  <r>
    <n v="19"/>
    <s v="13/02/2023"/>
    <s v="R000031966"/>
    <s v="ความสัมพันธ์ของการรับรู้ตามแบบแผนความเชื่อด้านสุขภาพกับการเข้ารับการคัดกรองมะเร็งปากมดลูกในสตรีไทยที่อาศัยอยู่ในเขตพื้นที่ติดชายแดนไทย-เมียนมาร์: กรณีศึกษา อาเภอปาย จังหวัดแม่ฮ่องสอน"/>
    <s v="ปทุมรัตน์    ศรีพันธุ์"/>
    <x v="1"/>
    <m/>
    <n v="25000"/>
    <m/>
    <n v="25000"/>
    <s v="นักวิจัยรุ่นใหม่ 65- ดร.ปทุมรัตน์"/>
    <s v="มหาวิทยาลัยเชียงใหม่"/>
    <x v="3"/>
    <s v="ภาครัฐ"/>
  </r>
  <r>
    <n v="20"/>
    <s v="17/02/2023"/>
    <s v="R000025590"/>
    <s v="หน่วยวิจัยทางคลินิกด้านเอชไอวี/เอดส์และโรคติดเชื้อประเทศไทย (ไทย ซีทียู, THAI CTU) (พ.ศ.2563-2570)"/>
    <s v="ขวัญชัย ศุภรัตน์ภิญโญ"/>
    <x v="1"/>
    <m/>
    <n v="8419784.9100000001"/>
    <m/>
    <n v="8419784.9100000001"/>
    <s v="THAI CTU"/>
    <s v="National Institutes of Health (NIH)"/>
    <x v="1"/>
    <s v="ภาครัฐ"/>
  </r>
  <r>
    <n v="21"/>
    <s v="21/02/2023"/>
    <s v="R000020583"/>
    <s v="A5332: Randomized Trial to Prevent Vascular Events in HIV (REPRIEVE) (PF ACTG)"/>
    <s v="ขวัญชัย ศุภรัตน์ภิญโญ"/>
    <x v="1"/>
    <m/>
    <n v="444245.88"/>
    <m/>
    <n v="444245.88"/>
    <s v="A5332"/>
    <s v="National Institutes of Health (NIH)"/>
    <x v="1"/>
    <s v="ภาครัฐ"/>
  </r>
  <r>
    <n v="22"/>
    <s v="27/02/2023"/>
    <s v="R000030240"/>
    <s v="นวัตกรรมผลิตภัณฑ์เบเกอรี่ GI ต่ำ จากแป้งกล้วยน้ำว้า"/>
    <s v="คงศักดิ์  บุญยะประณัย   "/>
    <x v="2"/>
    <m/>
    <n v="148500"/>
    <m/>
    <n v="148500"/>
    <s v="GI-แป้งกล้วยน้ำว้า"/>
    <s v="อุทยานวิทยาศาสตร์และเทคโนโลยี มหาวิทยาลัยเชียงใหม่ (CMU STeP) "/>
    <x v="2"/>
    <s v="ภาครัฐ"/>
  </r>
  <r>
    <n v="23"/>
    <s v="27/02/2023"/>
    <s v="R000031123"/>
    <s v="V116-007: การศึกษาวิจัยระยะที่ 3 ชนิดสุ่ม แบบปกปิดกลุ่มการวิจัยทั้งสองฝ่าย ในศูนย์วิจัยหลายแห่ง ที่ควบคุมโดยยาเปรียบเทียบที่ออกฤทธิ์ เพื่อประเมินความปลอดภัย ความทนต่อยา และความสามารถในการกระตุ้นให้เกิดภูมิคุ้มกันของวัคซีน วี116 ในผู้ใหญ่ที่ติดเชื้อเอชไอวี"/>
    <s v="ขวัญชัย ศุภรัตน์ภิญโญ"/>
    <x v="1"/>
    <m/>
    <n v="870240"/>
    <m/>
    <n v="870240"/>
    <s v="V116-007"/>
    <s v="Merck Sharp &amp; Dohme Corp., a subsidiary of Merck"/>
    <x v="1"/>
    <s v="ภาคเอกชน"/>
  </r>
  <r>
    <n v="24"/>
    <s v="27/02/2023"/>
    <s v="R000031275"/>
    <s v="การพัฒนาผลิตภัณฑ์ผงชงดื่มผสมโปรตีนสกัดจากจิ้งหรีดสำหรับเสริมสุขภาพผู้สูงอายุ"/>
    <s v="คงศักดิ์  บุญยะประณัย   "/>
    <x v="2"/>
    <m/>
    <n v="50000"/>
    <m/>
    <n v="50000"/>
    <s v="จิ้งหรีด"/>
    <s v="อุทยานวิทยาศาสตร์และเทคโนโลยี มหาวิทยาลัยเชียงใหม่ (CMU STeP) "/>
    <x v="2"/>
    <s v="ภาครัฐ"/>
  </r>
  <r>
    <n v="25"/>
    <s v="28/02/2023"/>
    <s v="R000025469"/>
    <s v="C-Free: การตรวจเลือดเพือหาการติดเชื้อเอชไอวีและไวรัสตับอักเสบและรักษาทันที สำหรับผู้ใช้ยาและคู่ในประเทศไทย: การวิจัยปลอดจากโรคไวรัสตับอักเสบซี"/>
    <s v="นันทิสา    โชติรสนิรมิต"/>
    <x v="1"/>
    <m/>
    <n v="16500"/>
    <m/>
    <n v="16500"/>
    <s v="C-Free"/>
    <s v="Dreamlopments LTD"/>
    <x v="2"/>
    <s v="ภาคเอกชน"/>
  </r>
  <r>
    <n v="26"/>
    <s v="2/03/2023"/>
    <s v="R000027975"/>
    <s v="พัฒนาระบบบริการบำบัดผู้มีปัญหาเสพติดสารกลุ่ม Opiates/Opioids(ฝิ่น/เฮโรอีน ฯลฯ) แบบ Opioid Substitution Treatment (OST) ด้วยยาอมใต้ลิ้น Buprenorphine/Naloxone combination"/>
    <s v="อภินันท์ อร่ามรัตน์"/>
    <x v="1"/>
    <m/>
    <m/>
    <n v="1237406.8600000001"/>
    <n v="1237406.8600000001"/>
    <s v="STAR 2021-2023"/>
    <s v="กองบริหารการสาธารณสุข (กบรส.)"/>
    <x v="2"/>
    <s v="ภาครัฐ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n v="1"/>
    <s v="Rerkasem, Kittipan"/>
    <n v="27"/>
    <n v="8659870200"/>
    <x v="0"/>
  </r>
  <r>
    <n v="2"/>
    <s v="Hongsibsong, Surat"/>
    <n v="13"/>
    <n v="35763581100"/>
    <x v="0"/>
  </r>
  <r>
    <n v="3"/>
    <s v="Chariyalertsak, Suwat"/>
    <n v="38"/>
    <n v="6701823706"/>
    <x v="1"/>
  </r>
  <r>
    <n v="4"/>
    <s v="Srithanaviboonchai, Kriengkrai"/>
    <n v="15"/>
    <n v="6506324974"/>
    <x v="1"/>
  </r>
  <r>
    <n v="5"/>
    <s v="Aurpibul, Linda"/>
    <n v="18"/>
    <n v="15843258100"/>
    <x v="1"/>
  </r>
  <r>
    <n v="6"/>
    <s v="Sripan, Patumrat"/>
    <n v="8"/>
    <n v="55571003400"/>
    <x v="1"/>
  </r>
  <r>
    <n v="7"/>
    <s v="Prapamontol, Tippawan"/>
    <n v="23"/>
    <n v="8517733000"/>
    <x v="0"/>
  </r>
  <r>
    <n v="8"/>
    <s v="Supparatpinyo, Khuanchai"/>
    <n v="36"/>
    <n v="6602542079"/>
    <x v="1"/>
  </r>
  <r>
    <n v="9"/>
    <s v="Tangmunkongvorakul, Arunrat"/>
    <n v="13"/>
    <n v="12803546300"/>
    <x v="1"/>
  </r>
  <r>
    <n v="10"/>
    <s v="Ounjaijean, Sakaewan"/>
    <n v="8"/>
    <n v="16314391500"/>
    <x v="0"/>
  </r>
  <r>
    <n v="11"/>
    <s v="Kulprachakarn, Kanokwan"/>
    <n v="5"/>
    <n v="56514051100"/>
    <x v="0"/>
  </r>
  <r>
    <n v="12"/>
    <s v="Rerkasem, Amaraporn"/>
    <n v="5"/>
    <n v="55102860900"/>
    <x v="1"/>
  </r>
  <r>
    <n v="13"/>
    <s v="Wipasa, Jiraprapa"/>
    <n v="14"/>
    <n v="6506460324"/>
    <x v="2"/>
  </r>
  <r>
    <n v="14"/>
    <s v="Hongjaisee, Sayamon"/>
    <n v="5"/>
    <n v="55315273900"/>
    <x v="2"/>
  </r>
  <r>
    <n v="15"/>
    <s v="Kawichai, Sawaeng"/>
    <n v="4"/>
    <n v="57192589826"/>
    <x v="0"/>
  </r>
  <r>
    <n v="16"/>
    <s v="Nantakool, Sothida"/>
    <n v="3"/>
    <n v="57219127545"/>
    <x v="0"/>
  </r>
  <r>
    <n v="17"/>
    <s v="Boonyapranai, Kongsak"/>
    <n v="4"/>
    <n v="27867469100"/>
    <x v="0"/>
  </r>
  <r>
    <n v="18"/>
    <s v="Thaikla, Kanittha"/>
    <n v="6"/>
    <n v="12645997500"/>
    <x v="1"/>
  </r>
  <r>
    <n v="19"/>
    <s v="Chawansuntati, Kriangkrai"/>
    <n v="9"/>
    <n v="6503874197"/>
    <x v="2"/>
  </r>
  <r>
    <n v="20"/>
    <s v="Parklak, Wason"/>
    <n v="5"/>
    <n v="57079068000"/>
    <x v="0"/>
  </r>
  <r>
    <n v="21"/>
    <s v="Sakkhachornphop, Supachai"/>
    <n v="8"/>
    <n v="6508106597"/>
    <x v="2"/>
  </r>
  <r>
    <n v="22"/>
    <s v="Lumjuan, Nongkran"/>
    <n v="16"/>
    <n v="8538476500"/>
    <x v="2"/>
  </r>
  <r>
    <n v="23"/>
    <s v="Sugandhavesa, Patcharaphan"/>
    <n v="13"/>
    <n v="55554342000"/>
    <x v="1"/>
  </r>
  <r>
    <n v="24"/>
    <s v="Wongtrakul, Jeerang"/>
    <n v="7"/>
    <n v="6507584444"/>
    <x v="2"/>
  </r>
  <r>
    <n v="25"/>
    <s v="Chotirosniramit, Nuntisa"/>
    <n v="5"/>
    <n v="55554599000"/>
    <x v="1"/>
  </r>
  <r>
    <n v="26"/>
    <s v="Wongta, Anurak"/>
    <n v="2"/>
    <n v="57205144602"/>
    <x v="0"/>
  </r>
  <r>
    <n v="27"/>
    <s v="Kosashunhanan, Natthapol"/>
    <n v="5"/>
    <n v="55554435600"/>
    <x v="1"/>
  </r>
  <r>
    <n v="28"/>
    <s v="Kantamala, Doungnapa"/>
    <n v="2"/>
    <n v="6505718303"/>
    <x v="2"/>
  </r>
  <r>
    <n v="29"/>
    <s v="Utaipat, Utaiwan"/>
    <n v="10"/>
    <n v="6505864589"/>
    <x v="2"/>
  </r>
  <r>
    <n v="30"/>
    <s v="Supindham, Taweewat"/>
    <n v="5"/>
    <n v="55554683200"/>
    <x v="1"/>
  </r>
  <r>
    <n v="31"/>
    <s v="อ.หทัยชนก จุลเจิม"/>
    <n v="2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EEB3D6-EE45-4104-A100-79084230FD83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4" firstHeaderRow="1" firstDataRow="1" firstDataCol="1"/>
  <pivotFields count="14">
    <pivotField showAll="0"/>
    <pivotField showAll="0"/>
    <pivotField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axis="axisRow" showAll="0">
      <items count="5">
        <item x="2"/>
        <item x="1"/>
        <item x="0"/>
        <item x="3"/>
        <item t="default"/>
      </items>
    </pivotField>
    <pivotField showAll="0"/>
  </pivotFields>
  <rowFields count="2">
    <field x="5"/>
    <field x="12"/>
  </rowFields>
  <rowItems count="11">
    <i>
      <x/>
    </i>
    <i r="1">
      <x/>
    </i>
    <i r="1">
      <x v="1"/>
    </i>
    <i r="1">
      <x v="3"/>
    </i>
    <i>
      <x v="1"/>
    </i>
    <i r="1">
      <x/>
    </i>
    <i r="1">
      <x v="1"/>
    </i>
    <i r="1">
      <x v="3"/>
    </i>
    <i>
      <x v="2"/>
    </i>
    <i r="1">
      <x v="2"/>
    </i>
    <i t="grand">
      <x/>
    </i>
  </rowItems>
  <colItems count="1">
    <i/>
  </colItems>
  <dataFields count="1">
    <dataField name="Sum of รวม" fld="9" baseField="0" baseItem="0"/>
  </dataFields>
  <formats count="4">
    <format dxfId="4">
      <pivotArea collapsedLevelsAreSubtotals="1" fieldPosition="0">
        <references count="1">
          <reference field="5" count="1">
            <x v="0"/>
          </reference>
        </references>
      </pivotArea>
    </format>
    <format dxfId="3">
      <pivotArea collapsedLevelsAreSubtotals="1" fieldPosition="0">
        <references count="2">
          <reference field="5" count="1" selected="0">
            <x v="0"/>
          </reference>
          <reference field="12" count="3">
            <x v="0"/>
            <x v="1"/>
            <x v="3"/>
          </reference>
        </references>
      </pivotArea>
    </format>
    <format dxfId="2">
      <pivotArea collapsedLevelsAreSubtotals="1" fieldPosition="0">
        <references count="1">
          <reference field="5" count="1">
            <x v="1"/>
          </reference>
        </references>
      </pivotArea>
    </format>
    <format dxfId="1">
      <pivotArea collapsedLevelsAreSubtotals="1" fieldPosition="0">
        <references count="2">
          <reference field="5" count="1" selected="0">
            <x v="1"/>
          </reference>
          <reference field="12" count="3">
            <x v="0"/>
            <x v="1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C6053D-B962-4ACE-9597-B4DD8FE13722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5:B20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5">
        <item x="2"/>
        <item x="1"/>
        <item x="3"/>
        <item x="0"/>
        <item t="default"/>
      </items>
    </pivotField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รวม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C13EE0-8575-4FCF-890A-7CB4A2A0B626}" name="PivotTable4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1:C15" firstHeaderRow="0" firstDataRow="1" firstDataCol="1"/>
  <pivotFields count="5">
    <pivotField showAll="0"/>
    <pivotField dataField="1"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Name" fld="1" subtotal="count" baseField="0" baseItem="0"/>
    <dataField name="Average of h-index" fld="2" subtotal="average" baseField="4" baseItem="0" numFmtId="164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736AE9-17AB-47A3-8F89-1D9D4455E165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7" firstHeaderRow="1" firstDataRow="1" firstDataCol="1"/>
  <pivotFields count="9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2"/>
        <item x="1"/>
        <item t="default"/>
      </items>
    </pivotField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Titl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75EEC4-FB8A-42EF-BC03-7E0A92EC4711}" name="PivotTable5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9:D23" firstHeaderRow="0" firstDataRow="1" firstDataCol="1"/>
  <pivotFields count="14">
    <pivotField showAll="0"/>
    <pivotField showAll="0"/>
    <pivotField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dataField="1" showAll="0"/>
    <pivotField dataField="1" showAll="0"/>
    <pivotField dataField="1" showAll="0"/>
    <pivotField showAll="0"/>
    <pivotField showAll="0"/>
    <pivotField showAll="0"/>
    <pivotField showAll="0">
      <items count="5">
        <item x="2"/>
        <item x="1"/>
        <item x="3"/>
        <item x="0"/>
        <item t="default"/>
      </items>
    </pivotField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ม.ค." fld="6" baseField="0" baseItem="0"/>
    <dataField name="Sum of ก.พ." fld="7" baseField="0" baseItem="0"/>
    <dataField name="Sum of มี.ค.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B104-F927-4714-B590-E96D88580269}">
  <sheetPr>
    <tabColor rgb="FF009977"/>
  </sheetPr>
  <dimension ref="B1:W30"/>
  <sheetViews>
    <sheetView showGridLines="0" showRowColHeaders="0" zoomScaleNormal="100" workbookViewId="0">
      <selection activeCell="A23" sqref="A23"/>
    </sheetView>
  </sheetViews>
  <sheetFormatPr defaultColWidth="8.85546875" defaultRowHeight="15" x14ac:dyDescent="0.25"/>
  <cols>
    <col min="1" max="1" width="20.7109375" style="1" customWidth="1"/>
    <col min="2" max="2" width="15.7109375" style="1" customWidth="1"/>
    <col min="3" max="4" width="2.7109375" style="1" customWidth="1"/>
    <col min="5" max="5" width="15.7109375" style="1" customWidth="1"/>
    <col min="6" max="6" width="2.7109375" style="1" customWidth="1"/>
    <col min="7" max="7" width="10.7109375" style="1" customWidth="1"/>
    <col min="8" max="8" width="2.7109375" style="1" customWidth="1"/>
    <col min="9" max="9" width="15.7109375" style="1" customWidth="1"/>
    <col min="10" max="10" width="2.7109375" style="1" customWidth="1"/>
    <col min="11" max="11" width="10.7109375" style="1" customWidth="1"/>
    <col min="12" max="12" width="2.7109375" style="1" customWidth="1"/>
    <col min="13" max="13" width="15.7109375" style="1" customWidth="1"/>
    <col min="14" max="14" width="2.7109375" style="1" customWidth="1"/>
    <col min="15" max="15" width="10.7109375" style="1" customWidth="1"/>
    <col min="16" max="16" width="2.7109375" style="1" customWidth="1"/>
    <col min="17" max="17" width="15.7109375" style="1" customWidth="1"/>
    <col min="18" max="18" width="2.7109375" style="1" customWidth="1"/>
    <col min="19" max="19" width="10.7109375" style="1" customWidth="1"/>
    <col min="20" max="20" width="2.7109375" style="1" customWidth="1"/>
    <col min="21" max="21" width="15.7109375" style="1" customWidth="1"/>
    <col min="22" max="22" width="2.7109375" style="1" customWidth="1"/>
    <col min="23" max="23" width="10.7109375" style="1" customWidth="1"/>
    <col min="24" max="24" width="2.7109375" style="1" customWidth="1"/>
    <col min="25" max="16384" width="8.85546875" style="1"/>
  </cols>
  <sheetData>
    <row r="1" spans="2:23" ht="19.899999999999999" customHeight="1" x14ac:dyDescent="0.25"/>
    <row r="2" spans="2:23" ht="19.899999999999999" customHeight="1" x14ac:dyDescent="0.55000000000000004">
      <c r="B2" s="2"/>
      <c r="C2" s="2"/>
      <c r="E2" s="77" t="s">
        <v>199</v>
      </c>
      <c r="F2" s="77"/>
      <c r="G2" s="77"/>
      <c r="I2" s="77" t="s">
        <v>58</v>
      </c>
      <c r="J2" s="77"/>
      <c r="K2" s="77"/>
      <c r="M2" s="77" t="s">
        <v>59</v>
      </c>
      <c r="N2" s="77"/>
      <c r="O2" s="77"/>
      <c r="Q2" s="77" t="s">
        <v>60</v>
      </c>
      <c r="R2" s="77"/>
      <c r="S2" s="77"/>
      <c r="U2" s="72" t="s">
        <v>201</v>
      </c>
      <c r="V2" s="72"/>
      <c r="W2" s="72"/>
    </row>
    <row r="3" spans="2:23" ht="19.899999999999999" customHeight="1" x14ac:dyDescent="0.25">
      <c r="B3" s="2"/>
      <c r="C3" s="2"/>
      <c r="E3" s="78">
        <f>COUNT(ผลงานตีพิมพ์!A2:A21)</f>
        <v>20</v>
      </c>
      <c r="F3" s="71" t="s">
        <v>62</v>
      </c>
      <c r="G3" s="71">
        <f>เป้าหมาย!C3</f>
        <v>112</v>
      </c>
      <c r="I3" s="75">
        <f>Sheet7!C20</f>
        <v>21.959121240000002</v>
      </c>
      <c r="J3" s="71" t="s">
        <v>62</v>
      </c>
      <c r="K3" s="71">
        <f>เป้าหมาย!C8</f>
        <v>175</v>
      </c>
      <c r="M3" s="75">
        <f>Sheet7!C17</f>
        <v>17.513434380000003</v>
      </c>
      <c r="N3" s="71" t="s">
        <v>62</v>
      </c>
      <c r="O3" s="71">
        <f>เป้าหมาย!C9</f>
        <v>125</v>
      </c>
      <c r="Q3" s="75">
        <f>Sheet7!C16</f>
        <v>4.3956868600000005</v>
      </c>
      <c r="R3" s="71" t="s">
        <v>62</v>
      </c>
      <c r="S3" s="71">
        <f>เป้าหมาย!C10</f>
        <v>50</v>
      </c>
      <c r="U3" s="76">
        <f>รายได้!R19/1000000</f>
        <v>0.926315</v>
      </c>
      <c r="V3" s="71" t="s">
        <v>62</v>
      </c>
      <c r="W3" s="74">
        <f>เป้าหมาย!C11</f>
        <v>10.5</v>
      </c>
    </row>
    <row r="4" spans="2:23" ht="19.899999999999999" customHeight="1" x14ac:dyDescent="0.55000000000000004">
      <c r="B4" s="2"/>
      <c r="C4" s="2"/>
      <c r="E4" s="78"/>
      <c r="F4" s="71"/>
      <c r="G4" s="71"/>
      <c r="H4" s="16"/>
      <c r="I4" s="75"/>
      <c r="J4" s="71"/>
      <c r="K4" s="71"/>
      <c r="L4" s="16"/>
      <c r="M4" s="75"/>
      <c r="N4" s="71"/>
      <c r="O4" s="71"/>
      <c r="P4" s="16"/>
      <c r="Q4" s="75"/>
      <c r="R4" s="71"/>
      <c r="S4" s="71"/>
      <c r="U4" s="76"/>
      <c r="V4" s="71"/>
      <c r="W4" s="74"/>
    </row>
    <row r="5" spans="2:23" ht="19.899999999999999" customHeight="1" x14ac:dyDescent="0.6">
      <c r="B5" s="2"/>
      <c r="C5" s="2"/>
      <c r="E5" s="79">
        <f>E3/G3</f>
        <v>0.17857142857142858</v>
      </c>
      <c r="F5" s="79"/>
      <c r="G5" s="79"/>
      <c r="I5" s="54">
        <f>I3/K3</f>
        <v>0.12548069280000002</v>
      </c>
      <c r="J5" s="14"/>
      <c r="K5" s="14"/>
      <c r="M5" s="54">
        <f>M3/O3</f>
        <v>0.14010747504000001</v>
      </c>
      <c r="N5" s="14"/>
      <c r="O5" s="14"/>
      <c r="Q5" s="54">
        <f>Q3/S3</f>
        <v>8.7913737200000008E-2</v>
      </c>
      <c r="R5" s="14"/>
      <c r="S5" s="14"/>
      <c r="U5" s="54">
        <f>U3/W3</f>
        <v>8.8220476190476196E-2</v>
      </c>
      <c r="V5" s="55"/>
      <c r="W5" s="55"/>
    </row>
    <row r="6" spans="2:23" ht="19.899999999999999" customHeight="1" x14ac:dyDescent="0.45">
      <c r="E6" s="15"/>
      <c r="F6" s="15"/>
      <c r="G6" s="15"/>
    </row>
    <row r="7" spans="2:23" ht="19.899999999999999" customHeight="1" x14ac:dyDescent="0.55000000000000004">
      <c r="B7" s="81" t="s">
        <v>45</v>
      </c>
      <c r="C7" s="81"/>
      <c r="E7" s="72" t="s">
        <v>200</v>
      </c>
      <c r="F7" s="72"/>
      <c r="G7" s="72"/>
    </row>
    <row r="8" spans="2:23" ht="19.899999999999999" customHeight="1" x14ac:dyDescent="0.45">
      <c r="B8" s="78">
        <f>COUNT(นักวิจัย!A2:A32)</f>
        <v>31</v>
      </c>
      <c r="C8" s="13"/>
      <c r="E8" s="78">
        <f>GETPIVOTDATA("Title",Sheet8!$A$3,"Quartile",1)</f>
        <v>16</v>
      </c>
      <c r="F8" s="71" t="s">
        <v>62</v>
      </c>
      <c r="G8" s="71">
        <f>เป้าหมาย!C4</f>
        <v>70</v>
      </c>
    </row>
    <row r="9" spans="2:23" ht="19.899999999999999" customHeight="1" x14ac:dyDescent="0.45">
      <c r="B9" s="78"/>
      <c r="C9" s="13"/>
      <c r="E9" s="78"/>
      <c r="F9" s="71"/>
      <c r="G9" s="71"/>
    </row>
    <row r="10" spans="2:23" ht="19.899999999999999" customHeight="1" x14ac:dyDescent="0.6">
      <c r="B10" s="13"/>
      <c r="C10" s="13"/>
      <c r="E10" s="54">
        <f>E8/G8</f>
        <v>0.22857142857142856</v>
      </c>
      <c r="F10" s="55"/>
      <c r="G10" s="55"/>
    </row>
    <row r="11" spans="2:23" ht="19.899999999999999" customHeight="1" x14ac:dyDescent="0.55000000000000004">
      <c r="B11" s="81" t="s">
        <v>46</v>
      </c>
      <c r="C11" s="81"/>
    </row>
    <row r="12" spans="2:23" ht="19.899999999999999" customHeight="1" x14ac:dyDescent="0.55000000000000004">
      <c r="B12" s="75">
        <f>AVERAGE(นักวิจัย!C2:C32)</f>
        <v>10.774193548387096</v>
      </c>
      <c r="C12" s="13"/>
      <c r="E12" s="72" t="s">
        <v>202</v>
      </c>
      <c r="F12" s="72"/>
      <c r="G12" s="72"/>
    </row>
    <row r="13" spans="2:23" ht="19.899999999999999" customHeight="1" x14ac:dyDescent="0.45">
      <c r="B13" s="75"/>
      <c r="C13" s="13"/>
      <c r="E13" s="82">
        <f>E3/B8</f>
        <v>0.64516129032258063</v>
      </c>
      <c r="F13" s="71" t="s">
        <v>62</v>
      </c>
      <c r="G13" s="71">
        <f>เป้าหมาย!C5</f>
        <v>3.6</v>
      </c>
    </row>
    <row r="14" spans="2:23" ht="19.899999999999999" customHeight="1" x14ac:dyDescent="0.45">
      <c r="B14" s="13"/>
      <c r="C14" s="13"/>
      <c r="E14" s="82"/>
      <c r="F14" s="71"/>
      <c r="G14" s="71"/>
    </row>
    <row r="15" spans="2:23" ht="19.899999999999999" customHeight="1" x14ac:dyDescent="0.6">
      <c r="B15" s="14"/>
      <c r="C15" s="14"/>
      <c r="E15" s="54">
        <f>E13/G13</f>
        <v>0.17921146953405018</v>
      </c>
      <c r="F15" s="55"/>
      <c r="G15" s="55"/>
    </row>
    <row r="16" spans="2:23" ht="19.899999999999999" customHeight="1" x14ac:dyDescent="0.25"/>
    <row r="17" spans="5:23" ht="19.899999999999999" customHeight="1" x14ac:dyDescent="0.55000000000000004">
      <c r="E17" s="72" t="s">
        <v>56</v>
      </c>
      <c r="F17" s="72"/>
      <c r="G17" s="72"/>
    </row>
    <row r="18" spans="5:23" ht="19.899999999999999" customHeight="1" x14ac:dyDescent="0.25">
      <c r="E18" s="73"/>
      <c r="F18" s="71" t="s">
        <v>62</v>
      </c>
      <c r="G18" s="74">
        <f>เป้าหมาย!C6</f>
        <v>17.7</v>
      </c>
    </row>
    <row r="19" spans="5:23" ht="19.899999999999999" customHeight="1" x14ac:dyDescent="0.25">
      <c r="E19" s="73"/>
      <c r="F19" s="71"/>
      <c r="G19" s="74"/>
    </row>
    <row r="20" spans="5:23" ht="19.899999999999999" customHeight="1" x14ac:dyDescent="0.45">
      <c r="E20" s="55"/>
      <c r="F20" s="55"/>
      <c r="G20" s="55"/>
    </row>
    <row r="21" spans="5:23" ht="19.899999999999999" customHeight="1" x14ac:dyDescent="0.45">
      <c r="E21" s="15"/>
      <c r="F21" s="15"/>
      <c r="G21" s="15"/>
    </row>
    <row r="22" spans="5:23" ht="19.899999999999999" customHeight="1" x14ac:dyDescent="0.55000000000000004">
      <c r="E22" s="72" t="s">
        <v>57</v>
      </c>
      <c r="F22" s="72"/>
      <c r="G22" s="72"/>
    </row>
    <row r="23" spans="5:23" ht="19.899999999999999" customHeight="1" x14ac:dyDescent="0.25">
      <c r="E23" s="78">
        <v>1</v>
      </c>
      <c r="F23" s="71" t="s">
        <v>62</v>
      </c>
      <c r="G23" s="71">
        <f>เป้าหมาย!C7</f>
        <v>1</v>
      </c>
    </row>
    <row r="24" spans="5:23" ht="19.899999999999999" customHeight="1" x14ac:dyDescent="0.25">
      <c r="E24" s="78"/>
      <c r="F24" s="71"/>
      <c r="G24" s="71"/>
    </row>
    <row r="25" spans="5:23" ht="19.899999999999999" customHeight="1" x14ac:dyDescent="0.6">
      <c r="E25" s="54">
        <f>E23/G23</f>
        <v>1</v>
      </c>
      <c r="F25" s="55"/>
      <c r="G25" s="55"/>
    </row>
    <row r="26" spans="5:23" ht="19.899999999999999" customHeight="1" x14ac:dyDescent="0.25">
      <c r="U26" s="80" t="s">
        <v>412</v>
      </c>
      <c r="V26" s="80"/>
      <c r="W26" s="80"/>
    </row>
    <row r="27" spans="5:23" ht="19.899999999999999" customHeight="1" x14ac:dyDescent="0.25"/>
    <row r="28" spans="5:23" ht="19.899999999999999" customHeight="1" x14ac:dyDescent="0.25"/>
    <row r="29" spans="5:23" ht="19.899999999999999" customHeight="1" x14ac:dyDescent="0.25"/>
    <row r="30" spans="5:23" ht="19.899999999999999" customHeight="1" x14ac:dyDescent="0.25"/>
  </sheetData>
  <sheetProtection algorithmName="SHA-512" hashValue="Nzn6wlIxT7FEUZk9tn8ZHCoRsmolopvKuBCmpQX6x+WVwF+IfU5wm/KrrfBN/MmfDsUHR8BD07BHP4PVHgljQA==" saltValue="bA7NegFG5WZpBEcwip3yTQ==" spinCount="100000" sheet="1" objects="1" scenarios="1"/>
  <mergeCells count="42">
    <mergeCell ref="E5:G5"/>
    <mergeCell ref="U26:W26"/>
    <mergeCell ref="B8:B9"/>
    <mergeCell ref="B7:C7"/>
    <mergeCell ref="B11:C11"/>
    <mergeCell ref="B12:B13"/>
    <mergeCell ref="E7:G7"/>
    <mergeCell ref="E8:E9"/>
    <mergeCell ref="F8:F9"/>
    <mergeCell ref="G8:G9"/>
    <mergeCell ref="E23:E24"/>
    <mergeCell ref="F23:F24"/>
    <mergeCell ref="G23:G24"/>
    <mergeCell ref="E12:G12"/>
    <mergeCell ref="E13:E14"/>
    <mergeCell ref="F13:F14"/>
    <mergeCell ref="E3:E4"/>
    <mergeCell ref="F3:F4"/>
    <mergeCell ref="G3:G4"/>
    <mergeCell ref="E2:G2"/>
    <mergeCell ref="M2:O2"/>
    <mergeCell ref="M3:M4"/>
    <mergeCell ref="N3:N4"/>
    <mergeCell ref="I2:K2"/>
    <mergeCell ref="I3:I4"/>
    <mergeCell ref="J3:J4"/>
    <mergeCell ref="K3:K4"/>
    <mergeCell ref="O3:O4"/>
    <mergeCell ref="Q3:Q4"/>
    <mergeCell ref="R3:R4"/>
    <mergeCell ref="S3:S4"/>
    <mergeCell ref="U2:W2"/>
    <mergeCell ref="U3:U4"/>
    <mergeCell ref="V3:V4"/>
    <mergeCell ref="W3:W4"/>
    <mergeCell ref="Q2:S2"/>
    <mergeCell ref="G13:G14"/>
    <mergeCell ref="E17:G17"/>
    <mergeCell ref="E22:G22"/>
    <mergeCell ref="E18:E19"/>
    <mergeCell ref="F18:F19"/>
    <mergeCell ref="G18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919C-213A-4D3E-BFE3-E8B1FA20E97E}">
  <dimension ref="A3:D20"/>
  <sheetViews>
    <sheetView workbookViewId="0">
      <selection activeCell="A11" sqref="A11"/>
    </sheetView>
  </sheetViews>
  <sheetFormatPr defaultRowHeight="15" x14ac:dyDescent="0.25"/>
  <cols>
    <col min="1" max="1" width="24.5703125" bestFit="1" customWidth="1"/>
    <col min="2" max="2" width="14.140625" bestFit="1" customWidth="1"/>
    <col min="3" max="3" width="22.28515625" bestFit="1" customWidth="1"/>
    <col min="4" max="4" width="19.85546875" customWidth="1"/>
    <col min="5" max="5" width="11" bestFit="1" customWidth="1"/>
  </cols>
  <sheetData>
    <row r="3" spans="1:4" x14ac:dyDescent="0.25">
      <c r="A3" s="22" t="s">
        <v>294</v>
      </c>
      <c r="B3" t="s">
        <v>297</v>
      </c>
      <c r="C3" t="s">
        <v>298</v>
      </c>
    </row>
    <row r="4" spans="1:4" x14ac:dyDescent="0.25">
      <c r="A4" s="23" t="s">
        <v>52</v>
      </c>
      <c r="B4" s="58">
        <v>19091691.560000002</v>
      </c>
      <c r="C4" s="25">
        <f>GETPIVOTDATA("รวม",$A$3,"Research center","IDSU")/1000000</f>
        <v>19.091691560000001</v>
      </c>
    </row>
    <row r="5" spans="1:4" x14ac:dyDescent="0.25">
      <c r="A5" s="24" t="s">
        <v>237</v>
      </c>
      <c r="B5" s="58">
        <v>1872186.86</v>
      </c>
      <c r="C5" s="25">
        <f>GETPIVOTDATA("รวม",$A$3,"Research center","IDSU","ประเภทแหล่งทุน
(มช./ในประเทศ/นอกประเทศ)","ทุนวิจัยภายในประเทศ")/1000000</f>
        <v>1.87218686</v>
      </c>
      <c r="D5" t="s">
        <v>318</v>
      </c>
    </row>
    <row r="6" spans="1:4" x14ac:dyDescent="0.25">
      <c r="A6" s="24" t="s">
        <v>218</v>
      </c>
      <c r="B6" s="58">
        <v>17194504.700000003</v>
      </c>
      <c r="C6" s="25">
        <f>GETPIVOTDATA("รวม",$A$3,"Research center","IDSU","ประเภทแหล่งทุน
(มช./ในประเทศ/นอกประเทศ)","ทุนวิจัยภายนอกประเทศ")/1000000</f>
        <v>17.194504700000003</v>
      </c>
      <c r="D6" t="s">
        <v>319</v>
      </c>
    </row>
    <row r="7" spans="1:4" x14ac:dyDescent="0.25">
      <c r="A7" s="24" t="s">
        <v>344</v>
      </c>
      <c r="B7" s="58">
        <v>25000</v>
      </c>
      <c r="C7" s="25">
        <f>GETPIVOTDATA("รวม",$A$3,"Research center","IDSU","ประเภทแหล่งทุน
(มช./ในประเทศ/นอกประเทศ)","มหาวิทยาลัยเชียงใหม่")/1000000</f>
        <v>2.5000000000000001E-2</v>
      </c>
      <c r="D7" t="s">
        <v>382</v>
      </c>
    </row>
    <row r="8" spans="1:4" x14ac:dyDescent="0.25">
      <c r="A8" s="23" t="s">
        <v>9</v>
      </c>
      <c r="B8" s="58">
        <v>2867429.68</v>
      </c>
      <c r="C8" s="25">
        <f>GETPIVOTDATA("รวม",$A$3,"Research center","NINE")/1000000</f>
        <v>2.8674296800000003</v>
      </c>
    </row>
    <row r="9" spans="1:4" x14ac:dyDescent="0.25">
      <c r="A9" s="24" t="s">
        <v>237</v>
      </c>
      <c r="B9" s="58">
        <v>2523500</v>
      </c>
      <c r="C9" s="25">
        <f>GETPIVOTDATA("รวม",$A$3,"Research center","NINE","ประเภทแหล่งทุน
(มช./ในประเทศ/นอกประเทศ)","ทุนวิจัยภายในประเทศ")/1000000</f>
        <v>2.5234999999999999</v>
      </c>
      <c r="D9" t="s">
        <v>318</v>
      </c>
    </row>
    <row r="10" spans="1:4" x14ac:dyDescent="0.25">
      <c r="A10" s="24" t="s">
        <v>218</v>
      </c>
      <c r="B10" s="58">
        <v>318929.68</v>
      </c>
      <c r="C10" s="25">
        <f>GETPIVOTDATA("รวม",$A$3,"Research center","NINE","ประเภทแหล่งทุน
(มช./ในประเทศ/นอกประเทศ)","ทุนวิจัยภายนอกประเทศ")/1000000</f>
        <v>0.31892967999999999</v>
      </c>
      <c r="D10" t="s">
        <v>319</v>
      </c>
    </row>
    <row r="11" spans="1:4" x14ac:dyDescent="0.25">
      <c r="A11" s="24" t="s">
        <v>344</v>
      </c>
      <c r="B11" s="58">
        <v>25000</v>
      </c>
      <c r="C11" s="25">
        <f>GETPIVOTDATA("รวม",$A$3,"Research center","NINE","ประเภทแหล่งทุน
(มช./ในประเทศ/นอกประเทศ)","มหาวิทยาลัยเชียงใหม่")/1000000</f>
        <v>2.5000000000000001E-2</v>
      </c>
      <c r="D11" t="s">
        <v>382</v>
      </c>
    </row>
    <row r="12" spans="1:4" x14ac:dyDescent="0.25">
      <c r="A12" s="23" t="s">
        <v>295</v>
      </c>
      <c r="C12" s="25"/>
    </row>
    <row r="13" spans="1:4" x14ac:dyDescent="0.25">
      <c r="A13" s="24" t="s">
        <v>295</v>
      </c>
    </row>
    <row r="14" spans="1:4" x14ac:dyDescent="0.25">
      <c r="A14" s="23" t="s">
        <v>296</v>
      </c>
      <c r="B14">
        <v>21959121.240000002</v>
      </c>
      <c r="C14" s="25">
        <f>GETPIVOTDATA("รวม",$A$3)/1000000</f>
        <v>21.959121240000002</v>
      </c>
    </row>
    <row r="15" spans="1:4" x14ac:dyDescent="0.25">
      <c r="A15" s="22" t="s">
        <v>294</v>
      </c>
      <c r="B15" t="s">
        <v>297</v>
      </c>
      <c r="C15" t="s">
        <v>381</v>
      </c>
    </row>
    <row r="16" spans="1:4" x14ac:dyDescent="0.25">
      <c r="A16" s="23" t="s">
        <v>237</v>
      </c>
      <c r="B16">
        <v>4395686.8600000003</v>
      </c>
      <c r="C16" s="25">
        <f>GETPIVOTDATA("รวม",$A$15,"ประเภทแหล่งทุน
(มช./ในประเทศ/นอกประเทศ)","ทุนวิจัยภายในประเทศ")/1000000</f>
        <v>4.3956868600000005</v>
      </c>
      <c r="D16" t="s">
        <v>318</v>
      </c>
    </row>
    <row r="17" spans="1:4" x14ac:dyDescent="0.25">
      <c r="A17" s="23" t="s">
        <v>218</v>
      </c>
      <c r="B17">
        <v>17513434.380000003</v>
      </c>
      <c r="C17" s="25">
        <f>GETPIVOTDATA("รวม",$A$15,"ประเภทแหล่งทุน
(มช./ในประเทศ/นอกประเทศ)","ทุนวิจัยภายนอกประเทศ")/1000000</f>
        <v>17.513434380000003</v>
      </c>
      <c r="D17" t="s">
        <v>319</v>
      </c>
    </row>
    <row r="18" spans="1:4" x14ac:dyDescent="0.25">
      <c r="A18" s="23" t="s">
        <v>344</v>
      </c>
      <c r="B18">
        <v>50000</v>
      </c>
      <c r="C18" s="25">
        <f>GETPIVOTDATA("รวม",$A$15,"ประเภทแหล่งทุน
(มช./ในประเทศ/นอกประเทศ)","มหาวิทยาลัยเชียงใหม่")/1000000</f>
        <v>0.05</v>
      </c>
      <c r="D18" t="s">
        <v>382</v>
      </c>
    </row>
    <row r="19" spans="1:4" x14ac:dyDescent="0.25">
      <c r="A19" s="23" t="s">
        <v>295</v>
      </c>
    </row>
    <row r="20" spans="1:4" x14ac:dyDescent="0.25">
      <c r="A20" s="23" t="s">
        <v>296</v>
      </c>
      <c r="B20">
        <v>21959121.240000002</v>
      </c>
      <c r="C20" s="25">
        <f>GETPIVOTDATA("รวม",$A$15)/1000000</f>
        <v>21.959121240000002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B174-81E2-455E-B276-58994C948F36}">
  <dimension ref="A3:Q23"/>
  <sheetViews>
    <sheetView workbookViewId="0">
      <selection activeCell="A11" sqref="A11"/>
    </sheetView>
  </sheetViews>
  <sheetFormatPr defaultRowHeight="15" x14ac:dyDescent="0.25"/>
  <cols>
    <col min="1" max="1" width="12.5703125" bestFit="1" customWidth="1"/>
    <col min="2" max="2" width="13.85546875" bestFit="1" customWidth="1"/>
    <col min="3" max="3" width="17" bestFit="1" customWidth="1"/>
    <col min="4" max="4" width="11.28515625" bestFit="1" customWidth="1"/>
    <col min="5" max="5" width="12" bestFit="1" customWidth="1"/>
  </cols>
  <sheetData>
    <row r="3" spans="1:4" x14ac:dyDescent="0.25">
      <c r="A3" s="22" t="s">
        <v>294</v>
      </c>
      <c r="B3" t="s">
        <v>313</v>
      </c>
      <c r="C3" t="s">
        <v>314</v>
      </c>
    </row>
    <row r="4" spans="1:4" x14ac:dyDescent="0.25">
      <c r="A4" s="23">
        <v>1</v>
      </c>
      <c r="B4">
        <v>16</v>
      </c>
      <c r="C4">
        <f>GETPIVOTDATA("Title",$A$3,"Quartile",1)*100/20</f>
        <v>80</v>
      </c>
      <c r="D4" t="s">
        <v>315</v>
      </c>
    </row>
    <row r="5" spans="1:4" x14ac:dyDescent="0.25">
      <c r="A5" s="23">
        <v>2</v>
      </c>
      <c r="B5">
        <v>2</v>
      </c>
      <c r="C5">
        <f>GETPIVOTDATA("Title",$A$3,"Quartile",2)*100/20</f>
        <v>10</v>
      </c>
      <c r="D5" t="s">
        <v>316</v>
      </c>
    </row>
    <row r="6" spans="1:4" x14ac:dyDescent="0.25">
      <c r="A6" s="23">
        <v>3</v>
      </c>
      <c r="B6">
        <v>2</v>
      </c>
      <c r="C6">
        <f>GETPIVOTDATA("Title",$A$3,"Quartile",3)*100/20</f>
        <v>10</v>
      </c>
      <c r="D6" t="s">
        <v>317</v>
      </c>
    </row>
    <row r="7" spans="1:4" x14ac:dyDescent="0.25">
      <c r="A7" s="23" t="s">
        <v>296</v>
      </c>
      <c r="B7">
        <v>20</v>
      </c>
    </row>
    <row r="11" spans="1:4" x14ac:dyDescent="0.25">
      <c r="A11" s="22" t="s">
        <v>294</v>
      </c>
      <c r="B11" t="s">
        <v>413</v>
      </c>
      <c r="C11" t="s">
        <v>414</v>
      </c>
    </row>
    <row r="12" spans="1:4" x14ac:dyDescent="0.25">
      <c r="A12" s="23" t="s">
        <v>26</v>
      </c>
      <c r="B12">
        <v>8</v>
      </c>
      <c r="C12" s="56">
        <v>8.875</v>
      </c>
    </row>
    <row r="13" spans="1:4" x14ac:dyDescent="0.25">
      <c r="A13" s="23" t="s">
        <v>14</v>
      </c>
      <c r="B13">
        <v>12</v>
      </c>
      <c r="C13" s="56">
        <v>13.916666666666666</v>
      </c>
    </row>
    <row r="14" spans="1:4" x14ac:dyDescent="0.25">
      <c r="A14" s="23" t="s">
        <v>9</v>
      </c>
      <c r="B14">
        <v>11</v>
      </c>
      <c r="C14" s="56">
        <v>8.7272727272727266</v>
      </c>
    </row>
    <row r="15" spans="1:4" x14ac:dyDescent="0.25">
      <c r="A15" s="23" t="s">
        <v>296</v>
      </c>
      <c r="B15">
        <v>31</v>
      </c>
      <c r="C15" s="56">
        <v>10.774193548387096</v>
      </c>
    </row>
    <row r="19" spans="1:17" x14ac:dyDescent="0.25">
      <c r="A19" s="22" t="s">
        <v>294</v>
      </c>
      <c r="B19" t="s">
        <v>415</v>
      </c>
      <c r="C19" t="s">
        <v>416</v>
      </c>
      <c r="D19" t="s">
        <v>417</v>
      </c>
      <c r="F19" t="s">
        <v>300</v>
      </c>
      <c r="G19" t="s">
        <v>301</v>
      </c>
      <c r="H19" t="s">
        <v>302</v>
      </c>
      <c r="I19" t="s">
        <v>303</v>
      </c>
      <c r="J19" t="s">
        <v>304</v>
      </c>
      <c r="K19" t="s">
        <v>305</v>
      </c>
      <c r="L19" t="s">
        <v>306</v>
      </c>
      <c r="M19" t="s">
        <v>307</v>
      </c>
      <c r="N19" t="s">
        <v>308</v>
      </c>
      <c r="O19" t="s">
        <v>309</v>
      </c>
      <c r="P19" t="s">
        <v>310</v>
      </c>
      <c r="Q19" t="s">
        <v>311</v>
      </c>
    </row>
    <row r="20" spans="1:17" x14ac:dyDescent="0.25">
      <c r="A20" s="23" t="s">
        <v>52</v>
      </c>
      <c r="B20">
        <v>2409426.5499999998</v>
      </c>
      <c r="C20">
        <v>15444858.15</v>
      </c>
      <c r="D20">
        <v>1237406.8600000001</v>
      </c>
      <c r="F20" s="25">
        <f>GETPIVOTDATA("Sum of ม.ค.",$A$19,"Research center","IDSU")/1000000</f>
        <v>2.4094265499999996</v>
      </c>
      <c r="G20" s="25">
        <f>GETPIVOTDATA("Sum of ก.พ.",$A$19,"Research center","IDSU")/1000000</f>
        <v>15.44485815</v>
      </c>
      <c r="H20" s="25">
        <f>GETPIVOTDATA("Sum of มี.ค.",$A$19,"Research center","IDSU")/1000000</f>
        <v>1.2374068600000001</v>
      </c>
    </row>
    <row r="21" spans="1:17" x14ac:dyDescent="0.25">
      <c r="A21" s="23" t="s">
        <v>9</v>
      </c>
      <c r="B21">
        <v>2318929.6799999997</v>
      </c>
      <c r="C21">
        <v>548500</v>
      </c>
      <c r="F21" s="25">
        <f>GETPIVOTDATA("Sum of ม.ค.",$A$19,"Research center","NINE")/1000000</f>
        <v>2.3189296799999997</v>
      </c>
      <c r="G21" s="25">
        <f>GETPIVOTDATA("Sum of ก.พ.",$A$19,"Research center","NINE")/1000000</f>
        <v>0.54849999999999999</v>
      </c>
      <c r="H21" s="25"/>
    </row>
    <row r="22" spans="1:17" x14ac:dyDescent="0.25">
      <c r="A22" s="23" t="s">
        <v>295</v>
      </c>
    </row>
    <row r="23" spans="1:17" x14ac:dyDescent="0.25">
      <c r="A23" s="23" t="s">
        <v>296</v>
      </c>
      <c r="B23">
        <v>4728356.2299999995</v>
      </c>
      <c r="C23">
        <v>15993358.15</v>
      </c>
      <c r="D23">
        <v>1237406.8600000001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04A3-CC8F-4A55-B597-9BBB2F1E1093}">
  <sheetPr>
    <tabColor theme="8" tint="-0.249977111117893"/>
  </sheetPr>
  <dimension ref="B1:W30"/>
  <sheetViews>
    <sheetView showGridLines="0" showRowColHeaders="0" zoomScaleNormal="100" workbookViewId="0">
      <selection activeCell="B22" sqref="B22"/>
    </sheetView>
  </sheetViews>
  <sheetFormatPr defaultColWidth="8.85546875" defaultRowHeight="15" x14ac:dyDescent="0.25"/>
  <cols>
    <col min="1" max="1" width="20.7109375" style="1" customWidth="1"/>
    <col min="2" max="2" width="15.7109375" style="1" customWidth="1"/>
    <col min="3" max="4" width="2.7109375" style="1" customWidth="1"/>
    <col min="5" max="5" width="15.7109375" style="1" customWidth="1"/>
    <col min="6" max="6" width="2.7109375" style="1" customWidth="1"/>
    <col min="7" max="7" width="10.7109375" style="1" customWidth="1"/>
    <col min="8" max="8" width="2.7109375" style="1" customWidth="1"/>
    <col min="9" max="9" width="15.7109375" style="1" customWidth="1"/>
    <col min="10" max="10" width="2.7109375" style="1" customWidth="1"/>
    <col min="11" max="11" width="10.7109375" style="1" customWidth="1"/>
    <col min="12" max="12" width="2.7109375" style="1" customWidth="1"/>
    <col min="13" max="13" width="15.7109375" style="1" customWidth="1"/>
    <col min="14" max="14" width="2.7109375" style="1" customWidth="1"/>
    <col min="15" max="15" width="10.7109375" style="1" customWidth="1"/>
    <col min="16" max="16" width="2.7109375" style="1" customWidth="1"/>
    <col min="17" max="17" width="15.7109375" style="1" customWidth="1"/>
    <col min="18" max="18" width="2.7109375" style="1" customWidth="1"/>
    <col min="19" max="19" width="10.7109375" style="1" customWidth="1"/>
    <col min="20" max="20" width="2.7109375" style="1" customWidth="1"/>
    <col min="21" max="21" width="15.7109375" style="1" customWidth="1"/>
    <col min="22" max="22" width="2.7109375" style="1" customWidth="1"/>
    <col min="23" max="23" width="10.7109375" style="1" customWidth="1"/>
    <col min="24" max="24" width="2.7109375" style="1" customWidth="1"/>
    <col min="25" max="16384" width="8.85546875" style="1"/>
  </cols>
  <sheetData>
    <row r="1" spans="2:23" ht="19.899999999999999" customHeight="1" x14ac:dyDescent="0.25"/>
    <row r="2" spans="2:23" ht="19.899999999999999" customHeight="1" x14ac:dyDescent="0.55000000000000004">
      <c r="B2" s="2"/>
      <c r="C2" s="2"/>
      <c r="E2" s="77" t="s">
        <v>199</v>
      </c>
      <c r="F2" s="77"/>
      <c r="G2" s="77"/>
      <c r="I2" s="77" t="s">
        <v>58</v>
      </c>
      <c r="J2" s="77"/>
      <c r="K2" s="77"/>
      <c r="M2" s="77" t="s">
        <v>59</v>
      </c>
      <c r="N2" s="77"/>
      <c r="O2" s="77"/>
      <c r="Q2" s="77" t="s">
        <v>60</v>
      </c>
      <c r="R2" s="77"/>
      <c r="S2" s="77"/>
      <c r="U2" s="72" t="s">
        <v>201</v>
      </c>
      <c r="V2" s="72"/>
      <c r="W2" s="72"/>
    </row>
    <row r="3" spans="2:23" ht="19.899999999999999" customHeight="1" x14ac:dyDescent="0.25">
      <c r="B3" s="91" t="s">
        <v>52</v>
      </c>
      <c r="C3" s="91"/>
      <c r="E3" s="89">
        <f>ผลงานตีพิมพ์!O36</f>
        <v>9</v>
      </c>
      <c r="F3" s="84" t="s">
        <v>62</v>
      </c>
      <c r="G3" s="84">
        <f>เป้าหมาย!D3</f>
        <v>43</v>
      </c>
      <c r="I3" s="88">
        <f>Sheet7!C4</f>
        <v>19.091691560000001</v>
      </c>
      <c r="J3" s="84" t="s">
        <v>62</v>
      </c>
      <c r="K3" s="84">
        <f>เป้าหมาย!D8</f>
        <v>120</v>
      </c>
      <c r="M3" s="88">
        <f>Sheet7!C6</f>
        <v>17.194504700000003</v>
      </c>
      <c r="N3" s="84" t="s">
        <v>62</v>
      </c>
      <c r="O3" s="84">
        <f>เป้าหมาย!D9</f>
        <v>120</v>
      </c>
      <c r="Q3" s="88">
        <f>Sheet7!C5</f>
        <v>1.87218686</v>
      </c>
      <c r="R3" s="84" t="s">
        <v>62</v>
      </c>
      <c r="S3" s="84">
        <f>เป้าหมาย!D10</f>
        <v>0</v>
      </c>
      <c r="U3" s="83">
        <f>รายได้!R3/1000000</f>
        <v>0.135215</v>
      </c>
      <c r="V3" s="84" t="s">
        <v>62</v>
      </c>
      <c r="W3" s="85">
        <f>เป้าหมาย!D11</f>
        <v>1.5</v>
      </c>
    </row>
    <row r="4" spans="2:23" ht="19.899999999999999" customHeight="1" x14ac:dyDescent="0.55000000000000004">
      <c r="B4" s="91"/>
      <c r="C4" s="91"/>
      <c r="E4" s="89"/>
      <c r="F4" s="84"/>
      <c r="G4" s="84"/>
      <c r="H4" s="16"/>
      <c r="I4" s="88"/>
      <c r="J4" s="84"/>
      <c r="K4" s="84"/>
      <c r="L4" s="16"/>
      <c r="M4" s="88"/>
      <c r="N4" s="84"/>
      <c r="O4" s="84"/>
      <c r="P4" s="16"/>
      <c r="Q4" s="88"/>
      <c r="R4" s="84"/>
      <c r="S4" s="84"/>
      <c r="U4" s="83"/>
      <c r="V4" s="84"/>
      <c r="W4" s="85"/>
    </row>
    <row r="5" spans="2:23" ht="19.899999999999999" customHeight="1" x14ac:dyDescent="0.6">
      <c r="B5" s="2"/>
      <c r="C5" s="2"/>
      <c r="E5" s="86">
        <f>E3/G3</f>
        <v>0.20930232558139536</v>
      </c>
      <c r="F5" s="86"/>
      <c r="G5" s="86"/>
      <c r="I5" s="61">
        <f>I3/K3</f>
        <v>0.15909742966666668</v>
      </c>
      <c r="J5" s="60"/>
      <c r="K5" s="60"/>
      <c r="M5" s="61">
        <f>M3/O3</f>
        <v>0.1432875391666667</v>
      </c>
      <c r="N5" s="60"/>
      <c r="O5" s="60"/>
      <c r="Q5" s="61"/>
      <c r="R5" s="60"/>
      <c r="S5" s="60"/>
      <c r="U5" s="61">
        <f>U3/W3</f>
        <v>9.0143333333333339E-2</v>
      </c>
      <c r="V5" s="62"/>
      <c r="W5" s="62"/>
    </row>
    <row r="6" spans="2:23" ht="19.899999999999999" customHeight="1" x14ac:dyDescent="0.45">
      <c r="E6" s="15"/>
      <c r="F6" s="15"/>
      <c r="G6" s="15"/>
    </row>
    <row r="7" spans="2:23" ht="19.899999999999999" customHeight="1" x14ac:dyDescent="0.55000000000000004">
      <c r="B7" s="87" t="s">
        <v>45</v>
      </c>
      <c r="C7" s="87"/>
      <c r="E7" s="72" t="s">
        <v>200</v>
      </c>
      <c r="F7" s="72"/>
      <c r="G7" s="72"/>
    </row>
    <row r="8" spans="2:23" ht="19.899999999999999" customHeight="1" x14ac:dyDescent="0.45">
      <c r="B8" s="89">
        <f>GETPIVOTDATA("Count of Name",Sheet8!$A$11,"Research center","ISDU")</f>
        <v>12</v>
      </c>
      <c r="C8" s="59"/>
      <c r="E8" s="89">
        <f>ผลงานตีพิมพ์!O41</f>
        <v>6</v>
      </c>
      <c r="F8" s="84" t="s">
        <v>62</v>
      </c>
      <c r="G8" s="84">
        <f>เป้าหมาย!D4</f>
        <v>27</v>
      </c>
    </row>
    <row r="9" spans="2:23" ht="19.899999999999999" customHeight="1" x14ac:dyDescent="0.45">
      <c r="B9" s="89"/>
      <c r="C9" s="59"/>
      <c r="E9" s="89"/>
      <c r="F9" s="84"/>
      <c r="G9" s="84"/>
    </row>
    <row r="10" spans="2:23" ht="19.899999999999999" customHeight="1" x14ac:dyDescent="0.6">
      <c r="B10" s="59"/>
      <c r="C10" s="59"/>
      <c r="E10" s="61">
        <f>E8/G8</f>
        <v>0.22222222222222221</v>
      </c>
      <c r="F10" s="62"/>
      <c r="G10" s="62"/>
    </row>
    <row r="11" spans="2:23" ht="19.899999999999999" customHeight="1" x14ac:dyDescent="0.55000000000000004">
      <c r="B11" s="87" t="s">
        <v>46</v>
      </c>
      <c r="C11" s="87"/>
    </row>
    <row r="12" spans="2:23" ht="19.899999999999999" customHeight="1" x14ac:dyDescent="0.55000000000000004">
      <c r="B12" s="88">
        <f>GETPIVOTDATA("Average of h-index",Sheet8!$A$11,"Research center","ISDU")</f>
        <v>13.916666666666666</v>
      </c>
      <c r="C12" s="59"/>
      <c r="E12" s="72" t="s">
        <v>202</v>
      </c>
      <c r="F12" s="72"/>
      <c r="G12" s="72"/>
    </row>
    <row r="13" spans="2:23" ht="19.899999999999999" customHeight="1" x14ac:dyDescent="0.45">
      <c r="B13" s="88"/>
      <c r="C13" s="59"/>
      <c r="E13" s="90">
        <f>E3/B8</f>
        <v>0.75</v>
      </c>
      <c r="F13" s="84" t="s">
        <v>62</v>
      </c>
      <c r="G13" s="84">
        <f>เป้าหมาย!C5</f>
        <v>3.6</v>
      </c>
    </row>
    <row r="14" spans="2:23" ht="19.899999999999999" customHeight="1" x14ac:dyDescent="0.45">
      <c r="B14" s="59"/>
      <c r="C14" s="59"/>
      <c r="E14" s="90"/>
      <c r="F14" s="84"/>
      <c r="G14" s="84"/>
    </row>
    <row r="15" spans="2:23" ht="19.899999999999999" customHeight="1" x14ac:dyDescent="0.6">
      <c r="B15" s="60"/>
      <c r="C15" s="60"/>
      <c r="E15" s="61">
        <f>E13/G13</f>
        <v>0.20833333333333331</v>
      </c>
      <c r="F15" s="62"/>
      <c r="G15" s="62"/>
    </row>
    <row r="16" spans="2:23" ht="19.899999999999999" customHeight="1" x14ac:dyDescent="0.25"/>
    <row r="17" spans="5:23" ht="19.899999999999999" customHeight="1" x14ac:dyDescent="0.55000000000000004">
      <c r="E17" s="72" t="s">
        <v>418</v>
      </c>
      <c r="F17" s="72"/>
      <c r="G17" s="72"/>
    </row>
    <row r="18" spans="5:23" ht="19.899999999999999" customHeight="1" x14ac:dyDescent="0.25">
      <c r="E18" s="92">
        <f>ผลงานตีพิมพ์!E52</f>
        <v>22.222222222222221</v>
      </c>
      <c r="F18" s="84" t="s">
        <v>62</v>
      </c>
      <c r="G18" s="93">
        <f>เป้าหมาย!D12</f>
        <v>40</v>
      </c>
    </row>
    <row r="19" spans="5:23" ht="19.899999999999999" customHeight="1" x14ac:dyDescent="0.25">
      <c r="E19" s="89"/>
      <c r="F19" s="84"/>
      <c r="G19" s="93"/>
    </row>
    <row r="20" spans="5:23" ht="19.899999999999999" customHeight="1" x14ac:dyDescent="0.6">
      <c r="E20" s="61"/>
      <c r="F20" s="62"/>
      <c r="G20" s="62"/>
    </row>
    <row r="21" spans="5:23" ht="19.899999999999999" customHeight="1" x14ac:dyDescent="0.45">
      <c r="E21" s="15"/>
      <c r="F21" s="15"/>
      <c r="G21" s="15"/>
    </row>
    <row r="22" spans="5:23" ht="19.899999999999999" customHeight="1" x14ac:dyDescent="0.55000000000000004">
      <c r="E22" s="72" t="s">
        <v>57</v>
      </c>
      <c r="F22" s="72"/>
      <c r="G22" s="72"/>
    </row>
    <row r="23" spans="5:23" ht="19.899999999999999" customHeight="1" x14ac:dyDescent="0.25">
      <c r="E23" s="89">
        <v>0</v>
      </c>
      <c r="F23" s="84" t="s">
        <v>62</v>
      </c>
      <c r="G23" s="84">
        <v>0</v>
      </c>
    </row>
    <row r="24" spans="5:23" ht="19.899999999999999" customHeight="1" x14ac:dyDescent="0.25">
      <c r="E24" s="89"/>
      <c r="F24" s="84"/>
      <c r="G24" s="84"/>
    </row>
    <row r="25" spans="5:23" ht="19.899999999999999" customHeight="1" x14ac:dyDescent="0.6">
      <c r="E25" s="61"/>
      <c r="F25" s="62"/>
      <c r="G25" s="62"/>
    </row>
    <row r="26" spans="5:23" ht="19.899999999999999" customHeight="1" x14ac:dyDescent="0.25">
      <c r="U26" s="80" t="s">
        <v>412</v>
      </c>
      <c r="V26" s="80"/>
      <c r="W26" s="80"/>
    </row>
    <row r="27" spans="5:23" ht="19.899999999999999" customHeight="1" x14ac:dyDescent="0.25"/>
    <row r="28" spans="5:23" ht="19.899999999999999" customHeight="1" x14ac:dyDescent="0.25"/>
    <row r="29" spans="5:23" ht="19.899999999999999" customHeight="1" x14ac:dyDescent="0.25"/>
    <row r="30" spans="5:23" ht="19.899999999999999" customHeight="1" x14ac:dyDescent="0.25"/>
  </sheetData>
  <sheetProtection algorithmName="SHA-512" hashValue="ZU1t2klmkmZe2J7dpwcCuaFjkPFhNJR918R7S4KVBZeTPlFiUpSAlXgT/vlbEFoZ/JT+CeTK490Rgl73kQ20lQ==" saltValue="G5pnAYacSl/atVGL70DGWw==" spinCount="100000" sheet="1" objects="1" scenarios="1"/>
  <mergeCells count="43">
    <mergeCell ref="U26:W26"/>
    <mergeCell ref="B3:C4"/>
    <mergeCell ref="E17:G17"/>
    <mergeCell ref="E18:E19"/>
    <mergeCell ref="F18:F19"/>
    <mergeCell ref="G18:G19"/>
    <mergeCell ref="E22:G22"/>
    <mergeCell ref="E23:E24"/>
    <mergeCell ref="F23:F24"/>
    <mergeCell ref="G23:G24"/>
    <mergeCell ref="B8:B9"/>
    <mergeCell ref="E8:E9"/>
    <mergeCell ref="F8:F9"/>
    <mergeCell ref="G8:G9"/>
    <mergeCell ref="B11:C11"/>
    <mergeCell ref="B12:B13"/>
    <mergeCell ref="E12:G12"/>
    <mergeCell ref="E13:E14"/>
    <mergeCell ref="F13:F14"/>
    <mergeCell ref="G13:G14"/>
    <mergeCell ref="S3:S4"/>
    <mergeCell ref="J3:J4"/>
    <mergeCell ref="U3:U4"/>
    <mergeCell ref="V3:V4"/>
    <mergeCell ref="W3:W4"/>
    <mergeCell ref="E5:G5"/>
    <mergeCell ref="B7:C7"/>
    <mergeCell ref="E7:G7"/>
    <mergeCell ref="K3:K4"/>
    <mergeCell ref="M3:M4"/>
    <mergeCell ref="N3:N4"/>
    <mergeCell ref="O3:O4"/>
    <mergeCell ref="Q3:Q4"/>
    <mergeCell ref="R3:R4"/>
    <mergeCell ref="E3:E4"/>
    <mergeCell ref="F3:F4"/>
    <mergeCell ref="G3:G4"/>
    <mergeCell ref="I3:I4"/>
    <mergeCell ref="E2:G2"/>
    <mergeCell ref="I2:K2"/>
    <mergeCell ref="M2:O2"/>
    <mergeCell ref="Q2:S2"/>
    <mergeCell ref="U2:W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4E21-9D17-4149-8439-C7DCF33A6CD7}">
  <sheetPr>
    <tabColor rgb="FFFFC000"/>
  </sheetPr>
  <dimension ref="B1:W30"/>
  <sheetViews>
    <sheetView showGridLines="0" showRowColHeaders="0" tabSelected="1" zoomScaleNormal="100" workbookViewId="0">
      <selection activeCell="A19" sqref="A19"/>
    </sheetView>
  </sheetViews>
  <sheetFormatPr defaultColWidth="8.85546875" defaultRowHeight="15" x14ac:dyDescent="0.25"/>
  <cols>
    <col min="1" max="1" width="20.7109375" style="1" customWidth="1"/>
    <col min="2" max="2" width="15.7109375" style="1" customWidth="1"/>
    <col min="3" max="4" width="2.7109375" style="1" customWidth="1"/>
    <col min="5" max="5" width="15.7109375" style="1" customWidth="1"/>
    <col min="6" max="6" width="2.7109375" style="1" customWidth="1"/>
    <col min="7" max="7" width="10.7109375" style="1" customWidth="1"/>
    <col min="8" max="8" width="2.7109375" style="1" customWidth="1"/>
    <col min="9" max="9" width="15.7109375" style="1" customWidth="1"/>
    <col min="10" max="10" width="2.7109375" style="1" customWidth="1"/>
    <col min="11" max="11" width="10.7109375" style="1" customWidth="1"/>
    <col min="12" max="12" width="2.7109375" style="1" customWidth="1"/>
    <col min="13" max="13" width="15.7109375" style="1" customWidth="1"/>
    <col min="14" max="14" width="2.7109375" style="1" customWidth="1"/>
    <col min="15" max="15" width="10.7109375" style="1" customWidth="1"/>
    <col min="16" max="16" width="2.7109375" style="1" customWidth="1"/>
    <col min="17" max="17" width="15.7109375" style="1" customWidth="1"/>
    <col min="18" max="18" width="2.7109375" style="1" customWidth="1"/>
    <col min="19" max="19" width="10.7109375" style="1" customWidth="1"/>
    <col min="20" max="20" width="2.7109375" style="1" customWidth="1"/>
    <col min="21" max="21" width="15.7109375" style="1" customWidth="1"/>
    <col min="22" max="22" width="2.7109375" style="1" customWidth="1"/>
    <col min="23" max="23" width="10.7109375" style="1" customWidth="1"/>
    <col min="24" max="24" width="2.7109375" style="1" customWidth="1"/>
    <col min="25" max="16384" width="8.85546875" style="1"/>
  </cols>
  <sheetData>
    <row r="1" spans="2:23" ht="19.899999999999999" customHeight="1" x14ac:dyDescent="0.25"/>
    <row r="2" spans="2:23" ht="19.899999999999999" customHeight="1" x14ac:dyDescent="0.55000000000000004">
      <c r="B2" s="2"/>
      <c r="C2" s="2"/>
      <c r="E2" s="77" t="s">
        <v>199</v>
      </c>
      <c r="F2" s="77"/>
      <c r="G2" s="77"/>
      <c r="I2" s="77" t="s">
        <v>58</v>
      </c>
      <c r="J2" s="77"/>
      <c r="K2" s="77"/>
      <c r="M2" s="77" t="s">
        <v>59</v>
      </c>
      <c r="N2" s="77"/>
      <c r="O2" s="77"/>
      <c r="Q2" s="77" t="s">
        <v>60</v>
      </c>
      <c r="R2" s="77"/>
      <c r="S2" s="77"/>
      <c r="U2" s="72" t="s">
        <v>201</v>
      </c>
      <c r="V2" s="72"/>
      <c r="W2" s="72"/>
    </row>
    <row r="3" spans="2:23" ht="19.899999999999999" customHeight="1" x14ac:dyDescent="0.25">
      <c r="B3" s="94" t="s">
        <v>421</v>
      </c>
      <c r="C3" s="94"/>
      <c r="E3" s="95">
        <f>ผลงานตีพิมพ์!O37</f>
        <v>3</v>
      </c>
      <c r="F3" s="96" t="s">
        <v>62</v>
      </c>
      <c r="G3" s="96">
        <f>เป้าหมาย!E3</f>
        <v>29</v>
      </c>
      <c r="I3" s="97">
        <v>0</v>
      </c>
      <c r="J3" s="96" t="s">
        <v>62</v>
      </c>
      <c r="K3" s="96">
        <f>เป้าหมาย!E8</f>
        <v>23</v>
      </c>
      <c r="M3" s="97">
        <v>0</v>
      </c>
      <c r="N3" s="96" t="s">
        <v>62</v>
      </c>
      <c r="O3" s="96">
        <f>เป้าหมาย!E9</f>
        <v>2</v>
      </c>
      <c r="Q3" s="97">
        <v>0</v>
      </c>
      <c r="R3" s="96" t="s">
        <v>62</v>
      </c>
      <c r="S3" s="96">
        <f>เป้าหมาย!E10</f>
        <v>21</v>
      </c>
      <c r="U3" s="99">
        <f>รายได้!C26</f>
        <v>2.97E-3</v>
      </c>
      <c r="V3" s="96" t="s">
        <v>62</v>
      </c>
      <c r="W3" s="100">
        <f>เป้าหมาย!E11</f>
        <v>0.5</v>
      </c>
    </row>
    <row r="4" spans="2:23" ht="19.899999999999999" customHeight="1" x14ac:dyDescent="0.55000000000000004">
      <c r="B4" s="94"/>
      <c r="C4" s="94"/>
      <c r="E4" s="95"/>
      <c r="F4" s="96"/>
      <c r="G4" s="96"/>
      <c r="H4" s="16"/>
      <c r="I4" s="97"/>
      <c r="J4" s="96"/>
      <c r="K4" s="96"/>
      <c r="L4" s="16"/>
      <c r="M4" s="97"/>
      <c r="N4" s="96"/>
      <c r="O4" s="96"/>
      <c r="P4" s="16"/>
      <c r="Q4" s="97"/>
      <c r="R4" s="96"/>
      <c r="S4" s="96"/>
      <c r="U4" s="99"/>
      <c r="V4" s="96"/>
      <c r="W4" s="100"/>
    </row>
    <row r="5" spans="2:23" ht="19.899999999999999" customHeight="1" x14ac:dyDescent="0.6">
      <c r="B5" s="2"/>
      <c r="C5" s="2"/>
      <c r="E5" s="98">
        <f>E3/G3</f>
        <v>0.10344827586206896</v>
      </c>
      <c r="F5" s="98"/>
      <c r="G5" s="98"/>
      <c r="I5" s="69">
        <f>I3/K3</f>
        <v>0</v>
      </c>
      <c r="J5" s="68"/>
      <c r="K5" s="68"/>
      <c r="M5" s="69">
        <f>M3/O3</f>
        <v>0</v>
      </c>
      <c r="N5" s="68"/>
      <c r="O5" s="68"/>
      <c r="Q5" s="69"/>
      <c r="R5" s="68"/>
      <c r="S5" s="68"/>
      <c r="U5" s="69">
        <f>U3/W3</f>
        <v>5.94E-3</v>
      </c>
      <c r="V5" s="70"/>
      <c r="W5" s="70"/>
    </row>
    <row r="6" spans="2:23" ht="19.899999999999999" customHeight="1" x14ac:dyDescent="0.45">
      <c r="E6" s="15"/>
      <c r="F6" s="15"/>
      <c r="G6" s="15"/>
    </row>
    <row r="7" spans="2:23" ht="19.899999999999999" customHeight="1" x14ac:dyDescent="0.55000000000000004">
      <c r="B7" s="101" t="s">
        <v>45</v>
      </c>
      <c r="C7" s="101"/>
      <c r="E7" s="72" t="s">
        <v>200</v>
      </c>
      <c r="F7" s="72"/>
      <c r="G7" s="72"/>
    </row>
    <row r="8" spans="2:23" ht="19.899999999999999" customHeight="1" x14ac:dyDescent="0.45">
      <c r="B8" s="95">
        <f>GETPIVOTDATA("Count of Name",Sheet8!$A$11,"Research center","CMBID")</f>
        <v>8</v>
      </c>
      <c r="C8" s="67"/>
      <c r="E8" s="95">
        <f>ผลงานตีพิมพ์!O42</f>
        <v>2</v>
      </c>
      <c r="F8" s="96" t="s">
        <v>62</v>
      </c>
      <c r="G8" s="96">
        <f>เป้าหมาย!E4</f>
        <v>18</v>
      </c>
    </row>
    <row r="9" spans="2:23" ht="19.899999999999999" customHeight="1" x14ac:dyDescent="0.45">
      <c r="B9" s="95"/>
      <c r="C9" s="67"/>
      <c r="E9" s="95"/>
      <c r="F9" s="96"/>
      <c r="G9" s="96"/>
    </row>
    <row r="10" spans="2:23" ht="19.899999999999999" customHeight="1" x14ac:dyDescent="0.6">
      <c r="B10" s="67"/>
      <c r="C10" s="67"/>
      <c r="E10" s="69">
        <f>E8/G8</f>
        <v>0.1111111111111111</v>
      </c>
      <c r="F10" s="70"/>
      <c r="G10" s="70"/>
    </row>
    <row r="11" spans="2:23" ht="19.899999999999999" customHeight="1" x14ac:dyDescent="0.55000000000000004">
      <c r="B11" s="101" t="s">
        <v>46</v>
      </c>
      <c r="C11" s="101"/>
    </row>
    <row r="12" spans="2:23" ht="19.899999999999999" customHeight="1" x14ac:dyDescent="0.55000000000000004">
      <c r="B12" s="97">
        <f>GETPIVOTDATA("Average of h-index",Sheet8!$A$11,"Research center","CMBID")</f>
        <v>8.875</v>
      </c>
      <c r="C12" s="67"/>
      <c r="E12" s="72" t="s">
        <v>202</v>
      </c>
      <c r="F12" s="72"/>
      <c r="G12" s="72"/>
    </row>
    <row r="13" spans="2:23" ht="19.899999999999999" customHeight="1" x14ac:dyDescent="0.45">
      <c r="B13" s="97"/>
      <c r="C13" s="67"/>
      <c r="E13" s="102">
        <f>E3/B8</f>
        <v>0.375</v>
      </c>
      <c r="F13" s="96" t="s">
        <v>62</v>
      </c>
      <c r="G13" s="96">
        <f>เป้าหมาย!C5</f>
        <v>3.6</v>
      </c>
    </row>
    <row r="14" spans="2:23" ht="19.899999999999999" customHeight="1" x14ac:dyDescent="0.45">
      <c r="B14" s="67"/>
      <c r="C14" s="67"/>
      <c r="E14" s="102"/>
      <c r="F14" s="96"/>
      <c r="G14" s="96"/>
    </row>
    <row r="15" spans="2:23" ht="19.899999999999999" customHeight="1" x14ac:dyDescent="0.6">
      <c r="B15" s="68"/>
      <c r="C15" s="68"/>
      <c r="E15" s="69">
        <f>E13/G13</f>
        <v>0.10416666666666666</v>
      </c>
      <c r="F15" s="70"/>
      <c r="G15" s="70"/>
    </row>
    <row r="16" spans="2:23" ht="19.899999999999999" customHeight="1" x14ac:dyDescent="0.25"/>
    <row r="17" spans="5:23" ht="19.899999999999999" customHeight="1" x14ac:dyDescent="0.55000000000000004">
      <c r="E17" s="72" t="s">
        <v>418</v>
      </c>
      <c r="F17" s="72"/>
      <c r="G17" s="72"/>
    </row>
    <row r="18" spans="5:23" ht="19.899999999999999" customHeight="1" x14ac:dyDescent="0.25">
      <c r="E18" s="103">
        <f>ผลงานตีพิมพ์!E53</f>
        <v>0</v>
      </c>
      <c r="F18" s="96" t="s">
        <v>62</v>
      </c>
      <c r="G18" s="104">
        <f>เป้าหมาย!D12</f>
        <v>40</v>
      </c>
    </row>
    <row r="19" spans="5:23" ht="19.899999999999999" customHeight="1" x14ac:dyDescent="0.25">
      <c r="E19" s="95"/>
      <c r="F19" s="96"/>
      <c r="G19" s="104"/>
    </row>
    <row r="20" spans="5:23" ht="19.899999999999999" customHeight="1" x14ac:dyDescent="0.45">
      <c r="E20" s="70"/>
      <c r="F20" s="70"/>
      <c r="G20" s="70"/>
    </row>
    <row r="21" spans="5:23" ht="19.899999999999999" customHeight="1" x14ac:dyDescent="0.45">
      <c r="E21" s="15"/>
      <c r="F21" s="15"/>
      <c r="G21" s="15"/>
    </row>
    <row r="22" spans="5:23" ht="19.899999999999999" customHeight="1" x14ac:dyDescent="0.55000000000000004">
      <c r="E22" s="72" t="s">
        <v>57</v>
      </c>
      <c r="F22" s="72"/>
      <c r="G22" s="72"/>
    </row>
    <row r="23" spans="5:23" ht="19.899999999999999" customHeight="1" x14ac:dyDescent="0.25">
      <c r="E23" s="95">
        <v>0</v>
      </c>
      <c r="F23" s="96" t="s">
        <v>62</v>
      </c>
      <c r="G23" s="96">
        <f>เป้าหมาย!F7</f>
        <v>1</v>
      </c>
    </row>
    <row r="24" spans="5:23" ht="19.899999999999999" customHeight="1" x14ac:dyDescent="0.25">
      <c r="E24" s="95"/>
      <c r="F24" s="96"/>
      <c r="G24" s="96"/>
    </row>
    <row r="25" spans="5:23" ht="19.899999999999999" customHeight="1" x14ac:dyDescent="0.6">
      <c r="E25" s="69">
        <f>E23/G23</f>
        <v>0</v>
      </c>
      <c r="F25" s="70"/>
      <c r="G25" s="70"/>
    </row>
    <row r="26" spans="5:23" ht="19.899999999999999" customHeight="1" x14ac:dyDescent="0.25">
      <c r="U26" s="80" t="s">
        <v>412</v>
      </c>
      <c r="V26" s="80"/>
      <c r="W26" s="80"/>
    </row>
    <row r="27" spans="5:23" ht="19.899999999999999" customHeight="1" x14ac:dyDescent="0.25"/>
    <row r="28" spans="5:23" ht="19.899999999999999" customHeight="1" x14ac:dyDescent="0.25"/>
    <row r="29" spans="5:23" ht="19.899999999999999" customHeight="1" x14ac:dyDescent="0.25"/>
    <row r="30" spans="5:23" ht="19.899999999999999" customHeight="1" x14ac:dyDescent="0.25"/>
  </sheetData>
  <sheetProtection algorithmName="SHA-512" hashValue="21V0BkZVy35qteCbTIj36jt1Sq3+u6ahXYy9BcyrOf/xyrD4eWRSXse1Ku2XguYTfWJSRWJFrsuRt4AYrPtsQA==" saltValue="1T4C2MuSqUY0sBvG2nkbIA==" spinCount="100000" sheet="1" objects="1" scenarios="1"/>
  <mergeCells count="43">
    <mergeCell ref="U26:W26"/>
    <mergeCell ref="E17:G17"/>
    <mergeCell ref="E18:E19"/>
    <mergeCell ref="F18:F19"/>
    <mergeCell ref="G18:G19"/>
    <mergeCell ref="E22:G22"/>
    <mergeCell ref="E23:E24"/>
    <mergeCell ref="F23:F24"/>
    <mergeCell ref="G23:G24"/>
    <mergeCell ref="B11:C11"/>
    <mergeCell ref="B12:B13"/>
    <mergeCell ref="E12:G12"/>
    <mergeCell ref="E13:E14"/>
    <mergeCell ref="F13:F14"/>
    <mergeCell ref="G13:G14"/>
    <mergeCell ref="W3:W4"/>
    <mergeCell ref="B7:C7"/>
    <mergeCell ref="E7:G7"/>
    <mergeCell ref="B8:B9"/>
    <mergeCell ref="E8:E9"/>
    <mergeCell ref="F8:F9"/>
    <mergeCell ref="G8:G9"/>
    <mergeCell ref="E5:G5"/>
    <mergeCell ref="J3:J4"/>
    <mergeCell ref="K3:K4"/>
    <mergeCell ref="M3:M4"/>
    <mergeCell ref="N3:N4"/>
    <mergeCell ref="U2:W2"/>
    <mergeCell ref="B3:C4"/>
    <mergeCell ref="E3:E4"/>
    <mergeCell ref="F3:F4"/>
    <mergeCell ref="G3:G4"/>
    <mergeCell ref="I3:I4"/>
    <mergeCell ref="O3:O4"/>
    <mergeCell ref="Q3:Q4"/>
    <mergeCell ref="E2:G2"/>
    <mergeCell ref="I2:K2"/>
    <mergeCell ref="M2:O2"/>
    <mergeCell ref="Q2:S2"/>
    <mergeCell ref="R3:R4"/>
    <mergeCell ref="S3:S4"/>
    <mergeCell ref="U3:U4"/>
    <mergeCell ref="V3:V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1B65-31B1-4A61-B230-51D2214154D6}">
  <sheetPr>
    <tabColor rgb="FFCC99FF"/>
  </sheetPr>
  <dimension ref="B1:W30"/>
  <sheetViews>
    <sheetView showGridLines="0" showRowColHeaders="0" zoomScaleNormal="100" workbookViewId="0">
      <selection activeCell="A19" sqref="A19"/>
    </sheetView>
  </sheetViews>
  <sheetFormatPr defaultColWidth="8.85546875" defaultRowHeight="15" x14ac:dyDescent="0.25"/>
  <cols>
    <col min="1" max="1" width="20.7109375" style="1" customWidth="1"/>
    <col min="2" max="2" width="15.7109375" style="1" customWidth="1"/>
    <col min="3" max="4" width="2.7109375" style="1" customWidth="1"/>
    <col min="5" max="5" width="15.7109375" style="1" customWidth="1"/>
    <col min="6" max="6" width="2.7109375" style="1" customWidth="1"/>
    <col min="7" max="7" width="10.7109375" style="1" customWidth="1"/>
    <col min="8" max="8" width="2.7109375" style="1" customWidth="1"/>
    <col min="9" max="9" width="15.7109375" style="1" customWidth="1"/>
    <col min="10" max="10" width="2.7109375" style="1" customWidth="1"/>
    <col min="11" max="11" width="10.7109375" style="1" customWidth="1"/>
    <col min="12" max="12" width="2.7109375" style="1" customWidth="1"/>
    <col min="13" max="13" width="15.7109375" style="1" customWidth="1"/>
    <col min="14" max="14" width="2.7109375" style="1" customWidth="1"/>
    <col min="15" max="15" width="10.7109375" style="1" customWidth="1"/>
    <col min="16" max="16" width="2.7109375" style="1" customWidth="1"/>
    <col min="17" max="17" width="15.7109375" style="1" customWidth="1"/>
    <col min="18" max="18" width="2.7109375" style="1" customWidth="1"/>
    <col min="19" max="19" width="10.7109375" style="1" customWidth="1"/>
    <col min="20" max="20" width="2.7109375" style="1" customWidth="1"/>
    <col min="21" max="21" width="15.7109375" style="1" customWidth="1"/>
    <col min="22" max="22" width="2.7109375" style="1" customWidth="1"/>
    <col min="23" max="23" width="10.7109375" style="1" customWidth="1"/>
    <col min="24" max="24" width="2.7109375" style="1" customWidth="1"/>
    <col min="25" max="16384" width="8.85546875" style="1"/>
  </cols>
  <sheetData>
    <row r="1" spans="2:23" ht="19.899999999999999" customHeight="1" x14ac:dyDescent="0.25"/>
    <row r="2" spans="2:23" ht="19.899999999999999" customHeight="1" x14ac:dyDescent="0.55000000000000004">
      <c r="B2" s="2"/>
      <c r="C2" s="2"/>
      <c r="E2" s="77" t="s">
        <v>199</v>
      </c>
      <c r="F2" s="77"/>
      <c r="G2" s="77"/>
      <c r="I2" s="77" t="s">
        <v>58</v>
      </c>
      <c r="J2" s="77"/>
      <c r="K2" s="77"/>
      <c r="M2" s="77" t="s">
        <v>59</v>
      </c>
      <c r="N2" s="77"/>
      <c r="O2" s="77"/>
      <c r="Q2" s="77" t="s">
        <v>60</v>
      </c>
      <c r="R2" s="77"/>
      <c r="S2" s="77"/>
      <c r="U2" s="72" t="s">
        <v>201</v>
      </c>
      <c r="V2" s="72"/>
      <c r="W2" s="72"/>
    </row>
    <row r="3" spans="2:23" ht="19.899999999999999" customHeight="1" x14ac:dyDescent="0.25">
      <c r="B3" s="105" t="s">
        <v>9</v>
      </c>
      <c r="C3" s="105"/>
      <c r="E3" s="106">
        <f>ผลงานตีพิมพ์!O38</f>
        <v>9</v>
      </c>
      <c r="F3" s="107" t="s">
        <v>62</v>
      </c>
      <c r="G3" s="107">
        <f>เป้าหมาย!F3</f>
        <v>40</v>
      </c>
      <c r="I3" s="108">
        <f>Sheet7!C8</f>
        <v>2.8674296800000003</v>
      </c>
      <c r="J3" s="107" t="s">
        <v>62</v>
      </c>
      <c r="K3" s="107">
        <f>เป้าหมาย!F8</f>
        <v>32</v>
      </c>
      <c r="M3" s="108">
        <f>Sheet7!C10</f>
        <v>0.31892967999999999</v>
      </c>
      <c r="N3" s="107" t="s">
        <v>62</v>
      </c>
      <c r="O3" s="107">
        <f>เป้าหมาย!F9</f>
        <v>3</v>
      </c>
      <c r="Q3" s="108">
        <f>Sheet7!C9</f>
        <v>2.5234999999999999</v>
      </c>
      <c r="R3" s="107" t="s">
        <v>62</v>
      </c>
      <c r="S3" s="107">
        <f>เป้าหมาย!F10</f>
        <v>29</v>
      </c>
      <c r="U3" s="110">
        <f>รายได้!C27</f>
        <v>0.26334999999999997</v>
      </c>
      <c r="V3" s="107" t="s">
        <v>62</v>
      </c>
      <c r="W3" s="111">
        <f>เป้าหมาย!F11</f>
        <v>4</v>
      </c>
    </row>
    <row r="4" spans="2:23" ht="19.899999999999999" customHeight="1" x14ac:dyDescent="0.55000000000000004">
      <c r="B4" s="105"/>
      <c r="C4" s="105"/>
      <c r="E4" s="106"/>
      <c r="F4" s="107"/>
      <c r="G4" s="107"/>
      <c r="H4" s="16"/>
      <c r="I4" s="108"/>
      <c r="J4" s="107"/>
      <c r="K4" s="107"/>
      <c r="L4" s="16"/>
      <c r="M4" s="108"/>
      <c r="N4" s="107"/>
      <c r="O4" s="107"/>
      <c r="P4" s="16"/>
      <c r="Q4" s="108"/>
      <c r="R4" s="107"/>
      <c r="S4" s="107"/>
      <c r="U4" s="110"/>
      <c r="V4" s="107"/>
      <c r="W4" s="111"/>
    </row>
    <row r="5" spans="2:23" ht="19.899999999999999" customHeight="1" x14ac:dyDescent="0.6">
      <c r="B5" s="2"/>
      <c r="C5" s="2"/>
      <c r="E5" s="109">
        <f>E3/G3</f>
        <v>0.22500000000000001</v>
      </c>
      <c r="F5" s="109"/>
      <c r="G5" s="109"/>
      <c r="I5" s="65">
        <f>I3/K3</f>
        <v>8.960717750000001E-2</v>
      </c>
      <c r="J5" s="64"/>
      <c r="K5" s="64"/>
      <c r="M5" s="65">
        <f>M3/O3</f>
        <v>0.10630989333333334</v>
      </c>
      <c r="N5" s="64"/>
      <c r="O5" s="64"/>
      <c r="Q5" s="65">
        <f>Q3/S3</f>
        <v>8.7017241379310342E-2</v>
      </c>
      <c r="R5" s="64"/>
      <c r="S5" s="64"/>
      <c r="U5" s="65">
        <f>U3/W3</f>
        <v>6.5837499999999993E-2</v>
      </c>
      <c r="V5" s="66"/>
      <c r="W5" s="66"/>
    </row>
    <row r="6" spans="2:23" ht="19.899999999999999" customHeight="1" x14ac:dyDescent="0.45">
      <c r="E6" s="15"/>
      <c r="F6" s="15"/>
      <c r="G6" s="15"/>
    </row>
    <row r="7" spans="2:23" ht="19.899999999999999" customHeight="1" x14ac:dyDescent="0.55000000000000004">
      <c r="B7" s="112" t="s">
        <v>45</v>
      </c>
      <c r="C7" s="112"/>
      <c r="E7" s="72" t="s">
        <v>200</v>
      </c>
      <c r="F7" s="72"/>
      <c r="G7" s="72"/>
    </row>
    <row r="8" spans="2:23" ht="19.899999999999999" customHeight="1" x14ac:dyDescent="0.45">
      <c r="B8" s="106">
        <f>GETPIVOTDATA("Count of Name",Sheet8!$A$11,"Research center","NINE")</f>
        <v>11</v>
      </c>
      <c r="C8" s="63"/>
      <c r="E8" s="106">
        <f>ผลงานตีพิมพ์!O43</f>
        <v>8</v>
      </c>
      <c r="F8" s="107" t="s">
        <v>62</v>
      </c>
      <c r="G8" s="107">
        <f>เป้าหมาย!F4</f>
        <v>25</v>
      </c>
    </row>
    <row r="9" spans="2:23" ht="19.899999999999999" customHeight="1" x14ac:dyDescent="0.45">
      <c r="B9" s="106"/>
      <c r="C9" s="63"/>
      <c r="E9" s="106"/>
      <c r="F9" s="107"/>
      <c r="G9" s="107"/>
    </row>
    <row r="10" spans="2:23" ht="19.899999999999999" customHeight="1" x14ac:dyDescent="0.6">
      <c r="B10" s="63"/>
      <c r="C10" s="63"/>
      <c r="E10" s="65">
        <f>E8/G8</f>
        <v>0.32</v>
      </c>
      <c r="F10" s="66"/>
      <c r="G10" s="66"/>
    </row>
    <row r="11" spans="2:23" ht="19.899999999999999" customHeight="1" x14ac:dyDescent="0.55000000000000004">
      <c r="B11" s="112" t="s">
        <v>46</v>
      </c>
      <c r="C11" s="112"/>
    </row>
    <row r="12" spans="2:23" ht="19.899999999999999" customHeight="1" x14ac:dyDescent="0.55000000000000004">
      <c r="B12" s="108">
        <f>GETPIVOTDATA("Average of h-index",Sheet8!$A$11,"Research center","NINE")</f>
        <v>8.7272727272727266</v>
      </c>
      <c r="C12" s="63"/>
      <c r="E12" s="72" t="s">
        <v>202</v>
      </c>
      <c r="F12" s="72"/>
      <c r="G12" s="72"/>
    </row>
    <row r="13" spans="2:23" ht="19.899999999999999" customHeight="1" x14ac:dyDescent="0.45">
      <c r="B13" s="108"/>
      <c r="C13" s="63"/>
      <c r="E13" s="113">
        <f>E3/B8</f>
        <v>0.81818181818181823</v>
      </c>
      <c r="F13" s="107" t="s">
        <v>62</v>
      </c>
      <c r="G13" s="107">
        <f>เป้าหมาย!C5</f>
        <v>3.6</v>
      </c>
    </row>
    <row r="14" spans="2:23" ht="19.899999999999999" customHeight="1" x14ac:dyDescent="0.45">
      <c r="B14" s="63"/>
      <c r="C14" s="63"/>
      <c r="E14" s="113"/>
      <c r="F14" s="107"/>
      <c r="G14" s="107"/>
    </row>
    <row r="15" spans="2:23" ht="19.899999999999999" customHeight="1" x14ac:dyDescent="0.6">
      <c r="B15" s="64"/>
      <c r="C15" s="64"/>
      <c r="E15" s="65">
        <f>E13/G13</f>
        <v>0.22727272727272729</v>
      </c>
      <c r="F15" s="66"/>
      <c r="G15" s="66"/>
    </row>
    <row r="16" spans="2:23" ht="19.899999999999999" customHeight="1" x14ac:dyDescent="0.25"/>
    <row r="17" spans="5:23" ht="19.899999999999999" customHeight="1" x14ac:dyDescent="0.55000000000000004">
      <c r="E17" s="72" t="s">
        <v>418</v>
      </c>
      <c r="F17" s="72"/>
      <c r="G17" s="72"/>
    </row>
    <row r="18" spans="5:23" ht="19.899999999999999" customHeight="1" x14ac:dyDescent="0.25">
      <c r="E18" s="114">
        <f>ผลงานตีพิมพ์!E54</f>
        <v>33.333333333333336</v>
      </c>
      <c r="F18" s="107" t="s">
        <v>62</v>
      </c>
      <c r="G18" s="115">
        <f>เป้าหมาย!D12</f>
        <v>40</v>
      </c>
    </row>
    <row r="19" spans="5:23" ht="19.899999999999999" customHeight="1" x14ac:dyDescent="0.25">
      <c r="E19" s="106"/>
      <c r="F19" s="107"/>
      <c r="G19" s="115"/>
    </row>
    <row r="20" spans="5:23" ht="19.899999999999999" customHeight="1" x14ac:dyDescent="0.45">
      <c r="E20" s="66"/>
      <c r="F20" s="66"/>
      <c r="G20" s="66"/>
    </row>
    <row r="21" spans="5:23" ht="19.899999999999999" customHeight="1" x14ac:dyDescent="0.45">
      <c r="E21" s="15"/>
      <c r="F21" s="15"/>
      <c r="G21" s="15"/>
    </row>
    <row r="22" spans="5:23" ht="19.899999999999999" customHeight="1" x14ac:dyDescent="0.55000000000000004">
      <c r="E22" s="72" t="s">
        <v>57</v>
      </c>
      <c r="F22" s="72"/>
      <c r="G22" s="72"/>
    </row>
    <row r="23" spans="5:23" ht="19.899999999999999" customHeight="1" x14ac:dyDescent="0.25">
      <c r="E23" s="106">
        <v>1</v>
      </c>
      <c r="F23" s="107" t="s">
        <v>62</v>
      </c>
      <c r="G23" s="107">
        <f>เป้าหมาย!F7</f>
        <v>1</v>
      </c>
    </row>
    <row r="24" spans="5:23" ht="19.899999999999999" customHeight="1" x14ac:dyDescent="0.25">
      <c r="E24" s="106"/>
      <c r="F24" s="107"/>
      <c r="G24" s="107"/>
    </row>
    <row r="25" spans="5:23" ht="19.899999999999999" customHeight="1" x14ac:dyDescent="0.6">
      <c r="E25" s="65"/>
      <c r="F25" s="66"/>
      <c r="G25" s="66"/>
    </row>
    <row r="26" spans="5:23" ht="19.899999999999999" customHeight="1" x14ac:dyDescent="0.25">
      <c r="U26" s="80" t="s">
        <v>412</v>
      </c>
      <c r="V26" s="80"/>
      <c r="W26" s="80"/>
    </row>
    <row r="27" spans="5:23" ht="19.899999999999999" customHeight="1" x14ac:dyDescent="0.25"/>
    <row r="28" spans="5:23" ht="19.899999999999999" customHeight="1" x14ac:dyDescent="0.25"/>
    <row r="29" spans="5:23" ht="19.899999999999999" customHeight="1" x14ac:dyDescent="0.25"/>
    <row r="30" spans="5:23" ht="19.899999999999999" customHeight="1" x14ac:dyDescent="0.25"/>
  </sheetData>
  <sheetProtection algorithmName="SHA-512" hashValue="8Fxj3GXkReFf+9R1pWymtIwWWrNeGBSDbY1RB9VpGGmAj/cOcgN0Hlw4BAtDY/aQjfpPUlAu6Hsx9wdZJ7HU4A==" saltValue="lz53th5mr6vCXaqbopu9fA==" spinCount="100000" sheet="1" objects="1" scenarios="1"/>
  <mergeCells count="43">
    <mergeCell ref="U26:W26"/>
    <mergeCell ref="E17:G17"/>
    <mergeCell ref="E18:E19"/>
    <mergeCell ref="F18:F19"/>
    <mergeCell ref="G18:G19"/>
    <mergeCell ref="E22:G22"/>
    <mergeCell ref="E23:E24"/>
    <mergeCell ref="F23:F24"/>
    <mergeCell ref="G23:G24"/>
    <mergeCell ref="B11:C11"/>
    <mergeCell ref="B12:B13"/>
    <mergeCell ref="E12:G12"/>
    <mergeCell ref="E13:E14"/>
    <mergeCell ref="F13:F14"/>
    <mergeCell ref="G13:G14"/>
    <mergeCell ref="W3:W4"/>
    <mergeCell ref="B7:C7"/>
    <mergeCell ref="E7:G7"/>
    <mergeCell ref="B8:B9"/>
    <mergeCell ref="E8:E9"/>
    <mergeCell ref="F8:F9"/>
    <mergeCell ref="G8:G9"/>
    <mergeCell ref="E5:G5"/>
    <mergeCell ref="J3:J4"/>
    <mergeCell ref="K3:K4"/>
    <mergeCell ref="M3:M4"/>
    <mergeCell ref="N3:N4"/>
    <mergeCell ref="U2:W2"/>
    <mergeCell ref="B3:C4"/>
    <mergeCell ref="E3:E4"/>
    <mergeCell ref="F3:F4"/>
    <mergeCell ref="G3:G4"/>
    <mergeCell ref="I3:I4"/>
    <mergeCell ref="O3:O4"/>
    <mergeCell ref="Q3:Q4"/>
    <mergeCell ref="E2:G2"/>
    <mergeCell ref="I2:K2"/>
    <mergeCell ref="M2:O2"/>
    <mergeCell ref="Q2:S2"/>
    <mergeCell ref="R3:R4"/>
    <mergeCell ref="S3:S4"/>
    <mergeCell ref="U3:U4"/>
    <mergeCell ref="V3:V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541E-AF6A-4509-A35B-FD349B2D754F}">
  <dimension ref="A1:H12"/>
  <sheetViews>
    <sheetView workbookViewId="0">
      <selection activeCell="A11" sqref="A11"/>
    </sheetView>
  </sheetViews>
  <sheetFormatPr defaultRowHeight="15" x14ac:dyDescent="0.25"/>
  <cols>
    <col min="2" max="2" width="38" customWidth="1"/>
    <col min="6" max="6" width="10.140625" customWidth="1"/>
    <col min="7" max="7" width="11.85546875" customWidth="1"/>
  </cols>
  <sheetData>
    <row r="1" spans="1:8" ht="17.25" x14ac:dyDescent="0.25">
      <c r="A1" s="116" t="s">
        <v>0</v>
      </c>
      <c r="B1" s="116" t="s">
        <v>48</v>
      </c>
      <c r="C1" s="117" t="s">
        <v>49</v>
      </c>
      <c r="D1" s="118"/>
      <c r="E1" s="118"/>
      <c r="F1" s="118"/>
      <c r="G1" s="119"/>
      <c r="H1" s="116" t="s">
        <v>50</v>
      </c>
    </row>
    <row r="2" spans="1:8" ht="17.25" x14ac:dyDescent="0.25">
      <c r="A2" s="116"/>
      <c r="B2" s="116"/>
      <c r="C2" s="9" t="s">
        <v>51</v>
      </c>
      <c r="D2" s="9" t="s">
        <v>52</v>
      </c>
      <c r="E2" s="9" t="s">
        <v>26</v>
      </c>
      <c r="F2" s="9" t="s">
        <v>9</v>
      </c>
      <c r="G2" s="9" t="s">
        <v>53</v>
      </c>
      <c r="H2" s="116"/>
    </row>
    <row r="3" spans="1:8" ht="17.25" x14ac:dyDescent="0.25">
      <c r="A3" s="10">
        <v>1</v>
      </c>
      <c r="B3" s="11" t="s">
        <v>47</v>
      </c>
      <c r="C3" s="10">
        <v>112</v>
      </c>
      <c r="D3" s="10">
        <v>43</v>
      </c>
      <c r="E3" s="10">
        <v>29</v>
      </c>
      <c r="F3" s="10">
        <v>40</v>
      </c>
      <c r="G3" s="10">
        <v>3.6</v>
      </c>
      <c r="H3" s="10">
        <v>2023</v>
      </c>
    </row>
    <row r="4" spans="1:8" ht="17.25" x14ac:dyDescent="0.25">
      <c r="A4" s="10">
        <v>2</v>
      </c>
      <c r="B4" s="11" t="s">
        <v>54</v>
      </c>
      <c r="C4" s="10">
        <v>70</v>
      </c>
      <c r="D4" s="10">
        <v>27</v>
      </c>
      <c r="E4" s="10">
        <v>18</v>
      </c>
      <c r="F4" s="10">
        <v>25</v>
      </c>
      <c r="G4" s="10">
        <v>2</v>
      </c>
      <c r="H4" s="10">
        <v>2023</v>
      </c>
    </row>
    <row r="5" spans="1:8" ht="17.25" x14ac:dyDescent="0.25">
      <c r="A5" s="10">
        <v>3</v>
      </c>
      <c r="B5" s="11" t="s">
        <v>55</v>
      </c>
      <c r="C5" s="10">
        <v>3.6</v>
      </c>
      <c r="D5" s="10">
        <v>3.6</v>
      </c>
      <c r="E5" s="10">
        <v>3.6</v>
      </c>
      <c r="F5" s="10">
        <v>3.6</v>
      </c>
      <c r="G5" s="10">
        <v>3.6</v>
      </c>
      <c r="H5" s="10">
        <v>2023</v>
      </c>
    </row>
    <row r="6" spans="1:8" ht="17.25" x14ac:dyDescent="0.25">
      <c r="A6" s="10">
        <v>4</v>
      </c>
      <c r="B6" s="12" t="s">
        <v>56</v>
      </c>
      <c r="C6" s="10">
        <v>17.7</v>
      </c>
      <c r="D6" s="10">
        <v>17.7</v>
      </c>
      <c r="E6" s="10">
        <v>17.7</v>
      </c>
      <c r="F6" s="10">
        <v>17.7</v>
      </c>
      <c r="G6" s="10">
        <v>17.7</v>
      </c>
      <c r="H6" s="10">
        <v>2023</v>
      </c>
    </row>
    <row r="7" spans="1:8" ht="17.25" x14ac:dyDescent="0.25">
      <c r="A7" s="10">
        <v>5</v>
      </c>
      <c r="B7" s="12" t="s">
        <v>57</v>
      </c>
      <c r="C7" s="10">
        <v>1</v>
      </c>
      <c r="D7" s="10">
        <v>0</v>
      </c>
      <c r="E7" s="10">
        <v>1</v>
      </c>
      <c r="F7" s="10">
        <v>1</v>
      </c>
      <c r="G7" s="10"/>
      <c r="H7" s="10">
        <v>2023</v>
      </c>
    </row>
    <row r="8" spans="1:8" ht="17.25" x14ac:dyDescent="0.25">
      <c r="A8" s="10">
        <v>6</v>
      </c>
      <c r="B8" s="12" t="s">
        <v>58</v>
      </c>
      <c r="C8" s="10">
        <v>175</v>
      </c>
      <c r="D8" s="10">
        <v>120</v>
      </c>
      <c r="E8" s="10">
        <v>23</v>
      </c>
      <c r="F8" s="10">
        <v>32</v>
      </c>
      <c r="G8" s="10"/>
      <c r="H8" s="10">
        <v>2023</v>
      </c>
    </row>
    <row r="9" spans="1:8" ht="17.25" x14ac:dyDescent="0.25">
      <c r="A9" s="10">
        <v>7</v>
      </c>
      <c r="B9" s="12" t="s">
        <v>59</v>
      </c>
      <c r="C9" s="10">
        <v>125</v>
      </c>
      <c r="D9" s="10">
        <v>120</v>
      </c>
      <c r="E9" s="10">
        <v>2</v>
      </c>
      <c r="F9" s="10">
        <v>3</v>
      </c>
      <c r="G9" s="10"/>
      <c r="H9" s="10">
        <v>2023</v>
      </c>
    </row>
    <row r="10" spans="1:8" ht="17.25" x14ac:dyDescent="0.25">
      <c r="A10" s="10">
        <v>8</v>
      </c>
      <c r="B10" s="12" t="s">
        <v>60</v>
      </c>
      <c r="C10" s="10">
        <v>50</v>
      </c>
      <c r="D10" s="10">
        <v>0</v>
      </c>
      <c r="E10" s="10">
        <v>21</v>
      </c>
      <c r="F10" s="10">
        <v>29</v>
      </c>
      <c r="G10" s="10"/>
      <c r="H10" s="10">
        <v>2023</v>
      </c>
    </row>
    <row r="11" spans="1:8" ht="17.25" x14ac:dyDescent="0.25">
      <c r="A11" s="10">
        <v>10</v>
      </c>
      <c r="B11" s="12" t="s">
        <v>61</v>
      </c>
      <c r="C11" s="10">
        <v>10.5</v>
      </c>
      <c r="D11" s="10">
        <v>1.5</v>
      </c>
      <c r="E11" s="10">
        <v>0.5</v>
      </c>
      <c r="F11" s="10">
        <v>4</v>
      </c>
      <c r="G11" s="10"/>
      <c r="H11" s="10">
        <v>2023</v>
      </c>
    </row>
    <row r="12" spans="1:8" ht="17.25" x14ac:dyDescent="0.25">
      <c r="A12" s="10">
        <v>11</v>
      </c>
      <c r="B12" s="12" t="s">
        <v>418</v>
      </c>
      <c r="C12" s="51"/>
      <c r="D12" s="10">
        <v>40</v>
      </c>
      <c r="E12" s="10">
        <v>40</v>
      </c>
      <c r="F12" s="10">
        <v>40</v>
      </c>
      <c r="G12" s="51"/>
      <c r="H12" s="10">
        <v>2023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F63D-392D-46F5-BA20-72B427A429BC}">
  <dimension ref="A1:H32"/>
  <sheetViews>
    <sheetView topLeftCell="A13" workbookViewId="0">
      <selection activeCell="A11" sqref="A11"/>
    </sheetView>
  </sheetViews>
  <sheetFormatPr defaultRowHeight="15" x14ac:dyDescent="0.25"/>
  <cols>
    <col min="1" max="1" width="2.7109375" bestFit="1" customWidth="1"/>
    <col min="2" max="2" width="32" customWidth="1"/>
    <col min="3" max="3" width="17.5703125" customWidth="1"/>
    <col min="4" max="4" width="23.85546875" customWidth="1"/>
    <col min="5" max="5" width="14.28515625" bestFit="1" customWidth="1"/>
    <col min="6" max="6" width="15.140625" customWidth="1"/>
    <col min="8" max="8" width="13.140625" bestFit="1" customWidth="1"/>
  </cols>
  <sheetData>
    <row r="1" spans="1:8" ht="17.2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17.25" x14ac:dyDescent="0.4">
      <c r="A2" s="4">
        <v>1</v>
      </c>
      <c r="B2" s="4" t="s">
        <v>8</v>
      </c>
      <c r="C2" s="4">
        <v>27</v>
      </c>
      <c r="D2" s="4">
        <v>8659870200</v>
      </c>
      <c r="E2" s="4" t="s">
        <v>9</v>
      </c>
      <c r="F2" s="5"/>
      <c r="G2" s="5"/>
      <c r="H2" s="4" t="s">
        <v>10</v>
      </c>
    </row>
    <row r="3" spans="1:8" ht="17.25" x14ac:dyDescent="0.4">
      <c r="A3" s="4">
        <v>2</v>
      </c>
      <c r="B3" s="4" t="s">
        <v>11</v>
      </c>
      <c r="C3" s="4">
        <v>13</v>
      </c>
      <c r="D3" s="4">
        <v>35763581100</v>
      </c>
      <c r="E3" s="4" t="s">
        <v>9</v>
      </c>
      <c r="F3" s="5"/>
      <c r="G3" s="5"/>
      <c r="H3" s="6" t="s">
        <v>12</v>
      </c>
    </row>
    <row r="4" spans="1:8" ht="17.25" x14ac:dyDescent="0.4">
      <c r="A4" s="4">
        <v>3</v>
      </c>
      <c r="B4" s="4" t="s">
        <v>13</v>
      </c>
      <c r="C4" s="4">
        <v>38</v>
      </c>
      <c r="D4" s="4">
        <v>6701823706</v>
      </c>
      <c r="E4" s="4" t="s">
        <v>14</v>
      </c>
      <c r="F4" s="5"/>
      <c r="G4" s="5"/>
      <c r="H4" s="4" t="s">
        <v>10</v>
      </c>
    </row>
    <row r="5" spans="1:8" ht="17.25" x14ac:dyDescent="0.4">
      <c r="A5" s="4">
        <v>4</v>
      </c>
      <c r="B5" s="4" t="s">
        <v>15</v>
      </c>
      <c r="C5" s="4">
        <v>15</v>
      </c>
      <c r="D5" s="4">
        <v>6506324974</v>
      </c>
      <c r="E5" s="4" t="s">
        <v>14</v>
      </c>
      <c r="F5" s="5"/>
      <c r="G5" s="5"/>
      <c r="H5" s="4" t="s">
        <v>10</v>
      </c>
    </row>
    <row r="6" spans="1:8" ht="17.25" x14ac:dyDescent="0.4">
      <c r="A6" s="4">
        <v>5</v>
      </c>
      <c r="B6" s="4" t="s">
        <v>16</v>
      </c>
      <c r="C6" s="4">
        <v>18</v>
      </c>
      <c r="D6" s="4">
        <v>15843258100</v>
      </c>
      <c r="E6" s="4" t="s">
        <v>14</v>
      </c>
      <c r="F6" s="5"/>
      <c r="G6" s="5"/>
      <c r="H6" s="6" t="s">
        <v>12</v>
      </c>
    </row>
    <row r="7" spans="1:8" ht="17.25" x14ac:dyDescent="0.4">
      <c r="A7" s="4">
        <v>6</v>
      </c>
      <c r="B7" s="4" t="s">
        <v>17</v>
      </c>
      <c r="C7" s="4">
        <v>8</v>
      </c>
      <c r="D7" s="4">
        <v>55571003400</v>
      </c>
      <c r="E7" s="4" t="s">
        <v>14</v>
      </c>
      <c r="F7" s="5"/>
      <c r="G7" s="5"/>
      <c r="H7" s="4" t="s">
        <v>18</v>
      </c>
    </row>
    <row r="8" spans="1:8" ht="17.25" x14ac:dyDescent="0.4">
      <c r="A8" s="4">
        <v>7</v>
      </c>
      <c r="B8" s="4" t="s">
        <v>19</v>
      </c>
      <c r="C8" s="4">
        <v>23</v>
      </c>
      <c r="D8" s="4">
        <v>8517733000</v>
      </c>
      <c r="E8" s="4" t="s">
        <v>9</v>
      </c>
      <c r="F8" s="5"/>
      <c r="G8" s="5"/>
      <c r="H8" s="4" t="s">
        <v>10</v>
      </c>
    </row>
    <row r="9" spans="1:8" ht="17.25" x14ac:dyDescent="0.4">
      <c r="A9" s="4">
        <v>8</v>
      </c>
      <c r="B9" s="4" t="s">
        <v>20</v>
      </c>
      <c r="C9" s="4">
        <v>36</v>
      </c>
      <c r="D9" s="4">
        <v>6602542079</v>
      </c>
      <c r="E9" s="4" t="s">
        <v>14</v>
      </c>
      <c r="F9" s="5"/>
      <c r="G9" s="5"/>
      <c r="H9" s="4" t="s">
        <v>10</v>
      </c>
    </row>
    <row r="10" spans="1:8" ht="17.25" x14ac:dyDescent="0.4">
      <c r="A10" s="4">
        <v>9</v>
      </c>
      <c r="B10" s="4" t="s">
        <v>21</v>
      </c>
      <c r="C10" s="4">
        <v>13</v>
      </c>
      <c r="D10" s="4">
        <v>12803546300</v>
      </c>
      <c r="E10" s="4" t="s">
        <v>14</v>
      </c>
      <c r="F10" s="5"/>
      <c r="G10" s="5"/>
      <c r="H10" s="4" t="s">
        <v>10</v>
      </c>
    </row>
    <row r="11" spans="1:8" ht="17.25" x14ac:dyDescent="0.4">
      <c r="A11" s="4">
        <v>10</v>
      </c>
      <c r="B11" s="4" t="s">
        <v>22</v>
      </c>
      <c r="C11" s="4">
        <v>8</v>
      </c>
      <c r="D11" s="4">
        <v>16314391500</v>
      </c>
      <c r="E11" s="4" t="s">
        <v>9</v>
      </c>
      <c r="F11" s="5"/>
      <c r="G11" s="5"/>
      <c r="H11" s="6" t="s">
        <v>12</v>
      </c>
    </row>
    <row r="12" spans="1:8" ht="17.25" x14ac:dyDescent="0.4">
      <c r="A12" s="4">
        <v>11</v>
      </c>
      <c r="B12" s="4" t="s">
        <v>23</v>
      </c>
      <c r="C12" s="4">
        <v>5</v>
      </c>
      <c r="D12" s="4">
        <v>56514051100</v>
      </c>
      <c r="E12" s="4" t="s">
        <v>9</v>
      </c>
      <c r="F12" s="5"/>
      <c r="G12" s="5"/>
      <c r="H12" s="6" t="s">
        <v>12</v>
      </c>
    </row>
    <row r="13" spans="1:8" ht="17.25" x14ac:dyDescent="0.4">
      <c r="A13" s="4">
        <v>12</v>
      </c>
      <c r="B13" s="4" t="s">
        <v>24</v>
      </c>
      <c r="C13" s="4">
        <v>5</v>
      </c>
      <c r="D13" s="4">
        <v>55102860900</v>
      </c>
      <c r="E13" s="4" t="s">
        <v>14</v>
      </c>
      <c r="F13" s="5"/>
      <c r="G13" s="5"/>
      <c r="H13" s="4" t="s">
        <v>18</v>
      </c>
    </row>
    <row r="14" spans="1:8" ht="17.25" x14ac:dyDescent="0.4">
      <c r="A14" s="4">
        <v>13</v>
      </c>
      <c r="B14" s="4" t="s">
        <v>25</v>
      </c>
      <c r="C14" s="4">
        <v>14</v>
      </c>
      <c r="D14" s="4">
        <v>6506460324</v>
      </c>
      <c r="E14" s="4" t="s">
        <v>26</v>
      </c>
      <c r="F14" s="5"/>
      <c r="G14" s="5"/>
      <c r="H14" s="6" t="s">
        <v>12</v>
      </c>
    </row>
    <row r="15" spans="1:8" ht="17.25" x14ac:dyDescent="0.4">
      <c r="A15" s="4">
        <v>14</v>
      </c>
      <c r="B15" s="4" t="s">
        <v>27</v>
      </c>
      <c r="C15" s="4">
        <v>5</v>
      </c>
      <c r="D15" s="4">
        <v>55315273900</v>
      </c>
      <c r="E15" s="4" t="s">
        <v>26</v>
      </c>
      <c r="F15" s="5"/>
      <c r="G15" s="5"/>
      <c r="H15" s="4" t="s">
        <v>18</v>
      </c>
    </row>
    <row r="16" spans="1:8" ht="17.25" x14ac:dyDescent="0.4">
      <c r="A16" s="4">
        <v>15</v>
      </c>
      <c r="B16" s="4" t="s">
        <v>28</v>
      </c>
      <c r="C16" s="4">
        <v>4</v>
      </c>
      <c r="D16" s="4">
        <v>57192589826</v>
      </c>
      <c r="E16" s="4" t="s">
        <v>9</v>
      </c>
      <c r="F16" s="5"/>
      <c r="G16" s="5"/>
      <c r="H16" s="4" t="s">
        <v>18</v>
      </c>
    </row>
    <row r="17" spans="1:8" ht="17.25" x14ac:dyDescent="0.4">
      <c r="A17" s="4">
        <v>16</v>
      </c>
      <c r="B17" s="4" t="s">
        <v>29</v>
      </c>
      <c r="C17" s="4">
        <v>3</v>
      </c>
      <c r="D17" s="4">
        <v>57219127545</v>
      </c>
      <c r="E17" s="4" t="s">
        <v>9</v>
      </c>
      <c r="F17" s="5"/>
      <c r="G17" s="5"/>
      <c r="H17" s="4" t="s">
        <v>18</v>
      </c>
    </row>
    <row r="18" spans="1:8" ht="17.25" x14ac:dyDescent="0.4">
      <c r="A18" s="4">
        <v>17</v>
      </c>
      <c r="B18" s="4" t="s">
        <v>30</v>
      </c>
      <c r="C18" s="4">
        <v>4</v>
      </c>
      <c r="D18" s="4">
        <v>27867469100</v>
      </c>
      <c r="E18" s="4" t="s">
        <v>9</v>
      </c>
      <c r="F18" s="5"/>
      <c r="G18" s="5"/>
      <c r="H18" s="4" t="s">
        <v>18</v>
      </c>
    </row>
    <row r="19" spans="1:8" ht="17.25" x14ac:dyDescent="0.4">
      <c r="A19" s="4">
        <v>18</v>
      </c>
      <c r="B19" s="4" t="s">
        <v>31</v>
      </c>
      <c r="C19" s="4">
        <v>6</v>
      </c>
      <c r="D19" s="4">
        <v>12645997500</v>
      </c>
      <c r="E19" s="4" t="s">
        <v>14</v>
      </c>
      <c r="F19" s="5"/>
      <c r="G19" s="5"/>
      <c r="H19" s="6" t="s">
        <v>12</v>
      </c>
    </row>
    <row r="20" spans="1:8" ht="17.25" x14ac:dyDescent="0.4">
      <c r="A20" s="4">
        <v>19</v>
      </c>
      <c r="B20" s="4" t="s">
        <v>32</v>
      </c>
      <c r="C20" s="4">
        <v>9</v>
      </c>
      <c r="D20" s="4">
        <v>6503874197</v>
      </c>
      <c r="E20" s="4" t="s">
        <v>26</v>
      </c>
      <c r="F20" s="5"/>
      <c r="G20" s="5"/>
      <c r="H20" s="6" t="s">
        <v>12</v>
      </c>
    </row>
    <row r="21" spans="1:8" ht="17.25" x14ac:dyDescent="0.4">
      <c r="A21" s="4">
        <v>20</v>
      </c>
      <c r="B21" s="4" t="s">
        <v>33</v>
      </c>
      <c r="C21" s="4">
        <v>5</v>
      </c>
      <c r="D21" s="4">
        <v>57079068000</v>
      </c>
      <c r="E21" s="4" t="s">
        <v>9</v>
      </c>
      <c r="F21" s="5"/>
      <c r="G21" s="5"/>
      <c r="H21" s="4" t="s">
        <v>18</v>
      </c>
    </row>
    <row r="22" spans="1:8" ht="17.25" x14ac:dyDescent="0.4">
      <c r="A22" s="4">
        <v>21</v>
      </c>
      <c r="B22" s="4" t="s">
        <v>34</v>
      </c>
      <c r="C22" s="4">
        <v>8</v>
      </c>
      <c r="D22" s="4">
        <v>6508106597</v>
      </c>
      <c r="E22" s="4" t="s">
        <v>26</v>
      </c>
      <c r="F22" s="5"/>
      <c r="G22" s="5"/>
      <c r="H22" s="6" t="s">
        <v>12</v>
      </c>
    </row>
    <row r="23" spans="1:8" ht="17.25" x14ac:dyDescent="0.4">
      <c r="A23" s="4">
        <v>22</v>
      </c>
      <c r="B23" s="4" t="s">
        <v>35</v>
      </c>
      <c r="C23" s="4">
        <v>16</v>
      </c>
      <c r="D23" s="4">
        <v>8538476500</v>
      </c>
      <c r="E23" s="4" t="s">
        <v>26</v>
      </c>
      <c r="F23" s="5"/>
      <c r="G23" s="5"/>
      <c r="H23" s="6" t="s">
        <v>12</v>
      </c>
    </row>
    <row r="24" spans="1:8" ht="17.25" x14ac:dyDescent="0.4">
      <c r="A24" s="4">
        <v>23</v>
      </c>
      <c r="B24" s="4" t="s">
        <v>36</v>
      </c>
      <c r="C24" s="4">
        <v>13</v>
      </c>
      <c r="D24" s="4">
        <v>55554342000</v>
      </c>
      <c r="E24" s="4" t="s">
        <v>14</v>
      </c>
      <c r="F24" s="5"/>
      <c r="G24" s="5"/>
      <c r="H24" s="6" t="s">
        <v>12</v>
      </c>
    </row>
    <row r="25" spans="1:8" ht="17.25" x14ac:dyDescent="0.4">
      <c r="A25" s="4">
        <v>24</v>
      </c>
      <c r="B25" s="4" t="s">
        <v>37</v>
      </c>
      <c r="C25" s="4">
        <v>7</v>
      </c>
      <c r="D25" s="4">
        <v>6507584444</v>
      </c>
      <c r="E25" s="4" t="s">
        <v>26</v>
      </c>
      <c r="F25" s="5"/>
      <c r="G25" s="5"/>
      <c r="H25" s="6" t="s">
        <v>12</v>
      </c>
    </row>
    <row r="26" spans="1:8" ht="17.25" x14ac:dyDescent="0.4">
      <c r="A26" s="4">
        <v>25</v>
      </c>
      <c r="B26" s="4" t="s">
        <v>38</v>
      </c>
      <c r="C26" s="4">
        <v>5</v>
      </c>
      <c r="D26" s="4">
        <v>55554599000</v>
      </c>
      <c r="E26" s="4" t="s">
        <v>14</v>
      </c>
      <c r="F26" s="5"/>
      <c r="G26" s="5"/>
      <c r="H26" s="6" t="s">
        <v>12</v>
      </c>
    </row>
    <row r="27" spans="1:8" ht="17.25" x14ac:dyDescent="0.4">
      <c r="A27" s="4">
        <v>26</v>
      </c>
      <c r="B27" s="4" t="s">
        <v>39</v>
      </c>
      <c r="C27" s="4">
        <v>2</v>
      </c>
      <c r="D27" s="4">
        <v>57205144602</v>
      </c>
      <c r="E27" s="4" t="s">
        <v>9</v>
      </c>
      <c r="F27" s="5"/>
      <c r="G27" s="5"/>
      <c r="H27" s="4" t="s">
        <v>18</v>
      </c>
    </row>
    <row r="28" spans="1:8" ht="17.25" x14ac:dyDescent="0.4">
      <c r="A28" s="4">
        <v>27</v>
      </c>
      <c r="B28" s="4" t="s">
        <v>40</v>
      </c>
      <c r="C28" s="4">
        <v>5</v>
      </c>
      <c r="D28" s="4">
        <v>55554435600</v>
      </c>
      <c r="E28" s="4" t="s">
        <v>14</v>
      </c>
      <c r="F28" s="5"/>
      <c r="G28" s="5"/>
      <c r="H28" s="6" t="s">
        <v>12</v>
      </c>
    </row>
    <row r="29" spans="1:8" ht="17.25" x14ac:dyDescent="0.4">
      <c r="A29" s="4">
        <v>28</v>
      </c>
      <c r="B29" s="4" t="s">
        <v>41</v>
      </c>
      <c r="C29" s="4">
        <v>2</v>
      </c>
      <c r="D29" s="4">
        <v>6505718303</v>
      </c>
      <c r="E29" s="4" t="s">
        <v>26</v>
      </c>
      <c r="F29" s="5"/>
      <c r="G29" s="5"/>
      <c r="H29" s="4" t="s">
        <v>10</v>
      </c>
    </row>
    <row r="30" spans="1:8" ht="17.25" x14ac:dyDescent="0.4">
      <c r="A30" s="4">
        <v>29</v>
      </c>
      <c r="B30" s="4" t="s">
        <v>42</v>
      </c>
      <c r="C30" s="4">
        <v>10</v>
      </c>
      <c r="D30" s="4">
        <v>6505864589</v>
      </c>
      <c r="E30" s="4" t="s">
        <v>26</v>
      </c>
      <c r="F30" s="5"/>
      <c r="G30" s="5"/>
      <c r="H30" s="4" t="s">
        <v>10</v>
      </c>
    </row>
    <row r="31" spans="1:8" ht="17.25" x14ac:dyDescent="0.4">
      <c r="A31" s="4">
        <v>30</v>
      </c>
      <c r="B31" s="4" t="s">
        <v>43</v>
      </c>
      <c r="C31" s="4">
        <v>5</v>
      </c>
      <c r="D31" s="4">
        <v>55554683200</v>
      </c>
      <c r="E31" s="4" t="s">
        <v>14</v>
      </c>
      <c r="F31" s="5"/>
      <c r="G31" s="5"/>
      <c r="H31" s="6" t="s">
        <v>12</v>
      </c>
    </row>
    <row r="32" spans="1:8" ht="17.25" x14ac:dyDescent="0.4">
      <c r="A32" s="4">
        <v>31</v>
      </c>
      <c r="B32" s="7" t="s">
        <v>44</v>
      </c>
      <c r="C32" s="8">
        <v>2</v>
      </c>
      <c r="D32" s="8"/>
      <c r="E32" s="4" t="s">
        <v>9</v>
      </c>
      <c r="F32" s="8"/>
      <c r="G32" s="8"/>
      <c r="H32" s="4" t="s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DDA6-D5F6-4E76-A3DA-DF791D564CB4}">
  <dimension ref="A1:O54"/>
  <sheetViews>
    <sheetView topLeftCell="A28" workbookViewId="0">
      <selection activeCell="A11" sqref="A11"/>
    </sheetView>
  </sheetViews>
  <sheetFormatPr defaultRowHeight="15" x14ac:dyDescent="0.25"/>
  <cols>
    <col min="2" max="2" width="47.7109375" customWidth="1"/>
    <col min="3" max="3" width="52" customWidth="1"/>
    <col min="8" max="8" width="13.42578125" customWidth="1"/>
  </cols>
  <sheetData>
    <row r="1" spans="1:14" x14ac:dyDescent="0.25">
      <c r="A1" t="s">
        <v>0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  <c r="H1" t="s">
        <v>69</v>
      </c>
      <c r="I1" t="s">
        <v>312</v>
      </c>
      <c r="J1" t="s">
        <v>70</v>
      </c>
      <c r="K1" t="s">
        <v>71</v>
      </c>
      <c r="L1" t="s">
        <v>72</v>
      </c>
      <c r="M1" t="s">
        <v>73</v>
      </c>
      <c r="N1" t="s">
        <v>74</v>
      </c>
    </row>
    <row r="2" spans="1:14" x14ac:dyDescent="0.25">
      <c r="A2">
        <v>1</v>
      </c>
      <c r="B2" t="s">
        <v>75</v>
      </c>
      <c r="C2" t="s">
        <v>76</v>
      </c>
      <c r="D2" t="s">
        <v>77</v>
      </c>
      <c r="E2">
        <v>2023</v>
      </c>
      <c r="F2" t="s">
        <v>78</v>
      </c>
      <c r="G2" t="s">
        <v>79</v>
      </c>
      <c r="H2">
        <v>14</v>
      </c>
      <c r="I2">
        <v>1</v>
      </c>
      <c r="J2">
        <v>1</v>
      </c>
      <c r="K2" t="s">
        <v>80</v>
      </c>
      <c r="L2" t="s">
        <v>81</v>
      </c>
      <c r="M2">
        <v>57215416673</v>
      </c>
      <c r="N2">
        <v>55553831600</v>
      </c>
    </row>
    <row r="3" spans="1:14" x14ac:dyDescent="0.25">
      <c r="A3">
        <v>2</v>
      </c>
      <c r="B3" t="s">
        <v>82</v>
      </c>
      <c r="C3" t="s">
        <v>83</v>
      </c>
      <c r="D3" t="s">
        <v>84</v>
      </c>
      <c r="E3">
        <v>2023</v>
      </c>
      <c r="F3" t="s">
        <v>85</v>
      </c>
      <c r="G3" t="s">
        <v>79</v>
      </c>
      <c r="H3">
        <v>7</v>
      </c>
      <c r="I3">
        <v>1</v>
      </c>
      <c r="J3">
        <v>1</v>
      </c>
      <c r="K3" t="s">
        <v>86</v>
      </c>
      <c r="L3" t="s">
        <v>87</v>
      </c>
      <c r="M3">
        <v>8728553100</v>
      </c>
      <c r="N3">
        <v>6505744075</v>
      </c>
    </row>
    <row r="4" spans="1:14" x14ac:dyDescent="0.25">
      <c r="A4">
        <v>3</v>
      </c>
      <c r="B4" t="s">
        <v>88</v>
      </c>
      <c r="C4" t="s">
        <v>89</v>
      </c>
      <c r="D4" t="s">
        <v>90</v>
      </c>
      <c r="E4">
        <v>2023</v>
      </c>
      <c r="F4" t="s">
        <v>91</v>
      </c>
      <c r="G4" t="s">
        <v>79</v>
      </c>
      <c r="H4">
        <v>3</v>
      </c>
      <c r="I4">
        <v>1</v>
      </c>
      <c r="J4">
        <v>1</v>
      </c>
      <c r="K4" t="s">
        <v>92</v>
      </c>
      <c r="L4" t="s">
        <v>93</v>
      </c>
      <c r="M4">
        <v>58074024800</v>
      </c>
      <c r="N4">
        <v>10440211400</v>
      </c>
    </row>
    <row r="5" spans="1:14" x14ac:dyDescent="0.25">
      <c r="A5">
        <v>4</v>
      </c>
      <c r="B5" t="s">
        <v>94</v>
      </c>
      <c r="C5" t="s">
        <v>95</v>
      </c>
      <c r="D5" t="s">
        <v>96</v>
      </c>
      <c r="E5">
        <v>2023</v>
      </c>
      <c r="F5" t="s">
        <v>97</v>
      </c>
      <c r="G5" t="s">
        <v>79</v>
      </c>
      <c r="H5">
        <v>8</v>
      </c>
      <c r="I5">
        <v>1</v>
      </c>
      <c r="J5">
        <v>0</v>
      </c>
      <c r="K5" t="s">
        <v>98</v>
      </c>
      <c r="L5" t="s">
        <v>99</v>
      </c>
      <c r="M5">
        <v>6603565133</v>
      </c>
      <c r="N5">
        <v>6603565133</v>
      </c>
    </row>
    <row r="6" spans="1:14" x14ac:dyDescent="0.25">
      <c r="A6">
        <v>5</v>
      </c>
      <c r="B6" t="s">
        <v>100</v>
      </c>
      <c r="C6" t="s">
        <v>101</v>
      </c>
      <c r="D6" t="s">
        <v>102</v>
      </c>
      <c r="E6">
        <v>2023</v>
      </c>
      <c r="F6" t="s">
        <v>103</v>
      </c>
      <c r="G6" t="s">
        <v>79</v>
      </c>
      <c r="H6">
        <v>5</v>
      </c>
      <c r="I6">
        <v>1</v>
      </c>
      <c r="J6">
        <v>0</v>
      </c>
      <c r="K6" t="s">
        <v>104</v>
      </c>
      <c r="L6" t="s">
        <v>105</v>
      </c>
      <c r="M6">
        <v>55861000300</v>
      </c>
      <c r="N6">
        <v>6701823706</v>
      </c>
    </row>
    <row r="7" spans="1:14" x14ac:dyDescent="0.25">
      <c r="A7">
        <v>6</v>
      </c>
      <c r="B7" t="s">
        <v>106</v>
      </c>
      <c r="C7" t="s">
        <v>107</v>
      </c>
      <c r="D7" t="s">
        <v>108</v>
      </c>
      <c r="E7">
        <v>2023</v>
      </c>
      <c r="F7" t="s">
        <v>109</v>
      </c>
      <c r="G7" t="s">
        <v>79</v>
      </c>
      <c r="H7">
        <v>23</v>
      </c>
      <c r="I7">
        <v>1</v>
      </c>
      <c r="J7">
        <v>0</v>
      </c>
      <c r="K7" t="s">
        <v>110</v>
      </c>
      <c r="L7" t="s">
        <v>111</v>
      </c>
      <c r="M7">
        <v>57211442803</v>
      </c>
      <c r="N7">
        <v>27867469100</v>
      </c>
    </row>
    <row r="8" spans="1:14" x14ac:dyDescent="0.25">
      <c r="A8">
        <v>7</v>
      </c>
      <c r="B8" t="s">
        <v>112</v>
      </c>
      <c r="C8" t="s">
        <v>113</v>
      </c>
      <c r="D8" t="s">
        <v>114</v>
      </c>
      <c r="E8">
        <v>2023</v>
      </c>
      <c r="F8" t="s">
        <v>97</v>
      </c>
      <c r="G8" t="s">
        <v>79</v>
      </c>
      <c r="H8">
        <v>8</v>
      </c>
      <c r="I8">
        <v>1</v>
      </c>
      <c r="J8">
        <v>0</v>
      </c>
      <c r="K8" t="s">
        <v>115</v>
      </c>
      <c r="L8" t="s">
        <v>116</v>
      </c>
      <c r="M8">
        <v>56986698000</v>
      </c>
      <c r="N8">
        <v>13806165200</v>
      </c>
    </row>
    <row r="9" spans="1:14" x14ac:dyDescent="0.25">
      <c r="A9">
        <v>8</v>
      </c>
      <c r="B9" t="s">
        <v>117</v>
      </c>
      <c r="C9" t="s">
        <v>118</v>
      </c>
      <c r="D9" t="s">
        <v>119</v>
      </c>
      <c r="E9">
        <v>2023</v>
      </c>
      <c r="F9" t="s">
        <v>120</v>
      </c>
      <c r="G9" t="s">
        <v>79</v>
      </c>
      <c r="H9">
        <v>60</v>
      </c>
      <c r="I9">
        <v>3</v>
      </c>
      <c r="J9">
        <v>0</v>
      </c>
      <c r="K9" t="s">
        <v>121</v>
      </c>
      <c r="L9" t="s">
        <v>122</v>
      </c>
      <c r="M9">
        <v>12763313600</v>
      </c>
      <c r="N9">
        <v>12763313600</v>
      </c>
    </row>
    <row r="10" spans="1:14" x14ac:dyDescent="0.25">
      <c r="A10">
        <v>9</v>
      </c>
      <c r="B10" t="s">
        <v>123</v>
      </c>
      <c r="C10" t="s">
        <v>124</v>
      </c>
      <c r="D10" t="s">
        <v>125</v>
      </c>
      <c r="E10">
        <v>2023</v>
      </c>
      <c r="F10" t="s">
        <v>126</v>
      </c>
      <c r="G10" t="s">
        <v>79</v>
      </c>
      <c r="H10">
        <v>8</v>
      </c>
      <c r="I10">
        <v>1</v>
      </c>
      <c r="J10">
        <v>0</v>
      </c>
      <c r="K10" t="s">
        <v>127</v>
      </c>
      <c r="L10" t="s">
        <v>128</v>
      </c>
      <c r="M10">
        <v>36112770500</v>
      </c>
      <c r="N10" t="s">
        <v>79</v>
      </c>
    </row>
    <row r="11" spans="1:14" x14ac:dyDescent="0.25">
      <c r="A11">
        <v>10</v>
      </c>
      <c r="B11" t="s">
        <v>129</v>
      </c>
      <c r="C11" t="s">
        <v>130</v>
      </c>
      <c r="D11" t="s">
        <v>131</v>
      </c>
      <c r="E11">
        <v>2023</v>
      </c>
      <c r="F11" t="s">
        <v>132</v>
      </c>
      <c r="G11" t="s">
        <v>79</v>
      </c>
      <c r="H11">
        <v>71</v>
      </c>
      <c r="I11">
        <v>3</v>
      </c>
      <c r="J11">
        <v>0</v>
      </c>
      <c r="K11" t="s">
        <v>133</v>
      </c>
      <c r="L11" t="s">
        <v>134</v>
      </c>
      <c r="M11">
        <v>55370393100</v>
      </c>
      <c r="N11">
        <v>35763581100</v>
      </c>
    </row>
    <row r="12" spans="1:14" x14ac:dyDescent="0.25">
      <c r="A12">
        <v>11</v>
      </c>
      <c r="B12" t="s">
        <v>135</v>
      </c>
      <c r="C12" t="s">
        <v>136</v>
      </c>
      <c r="D12" t="s">
        <v>137</v>
      </c>
      <c r="E12">
        <v>2023</v>
      </c>
      <c r="F12" t="s">
        <v>138</v>
      </c>
      <c r="G12" t="s">
        <v>79</v>
      </c>
      <c r="H12">
        <v>11</v>
      </c>
      <c r="I12">
        <v>1</v>
      </c>
      <c r="J12">
        <v>0</v>
      </c>
      <c r="K12" t="s">
        <v>139</v>
      </c>
      <c r="L12" t="s">
        <v>140</v>
      </c>
      <c r="M12">
        <v>16314391500</v>
      </c>
      <c r="N12">
        <v>47161561800</v>
      </c>
    </row>
    <row r="13" spans="1:14" x14ac:dyDescent="0.25">
      <c r="A13">
        <v>12</v>
      </c>
      <c r="B13" t="s">
        <v>141</v>
      </c>
      <c r="C13" t="s">
        <v>142</v>
      </c>
      <c r="D13" t="s">
        <v>143</v>
      </c>
      <c r="E13">
        <v>2023</v>
      </c>
      <c r="F13" t="s">
        <v>144</v>
      </c>
      <c r="G13" t="s">
        <v>79</v>
      </c>
      <c r="H13">
        <v>9</v>
      </c>
      <c r="I13">
        <v>1</v>
      </c>
      <c r="J13">
        <v>0</v>
      </c>
      <c r="K13" t="s">
        <v>145</v>
      </c>
      <c r="L13" t="s">
        <v>146</v>
      </c>
      <c r="M13">
        <v>7003354420</v>
      </c>
      <c r="N13">
        <v>7003354420</v>
      </c>
    </row>
    <row r="14" spans="1:14" x14ac:dyDescent="0.25">
      <c r="A14">
        <v>13</v>
      </c>
      <c r="B14" t="s">
        <v>147</v>
      </c>
      <c r="C14" t="s">
        <v>148</v>
      </c>
      <c r="D14" t="s">
        <v>149</v>
      </c>
      <c r="E14">
        <v>2023</v>
      </c>
      <c r="F14" t="s">
        <v>150</v>
      </c>
      <c r="G14" t="s">
        <v>79</v>
      </c>
      <c r="H14">
        <v>29</v>
      </c>
      <c r="I14">
        <v>2</v>
      </c>
      <c r="J14">
        <v>0</v>
      </c>
      <c r="K14" t="s">
        <v>151</v>
      </c>
      <c r="L14" t="s">
        <v>152</v>
      </c>
      <c r="M14">
        <v>16314391500</v>
      </c>
      <c r="N14">
        <v>39161944800</v>
      </c>
    </row>
    <row r="15" spans="1:14" x14ac:dyDescent="0.25">
      <c r="A15">
        <v>14</v>
      </c>
      <c r="B15" t="s">
        <v>153</v>
      </c>
      <c r="C15" t="s">
        <v>154</v>
      </c>
      <c r="D15" t="s">
        <v>155</v>
      </c>
      <c r="E15">
        <v>2023</v>
      </c>
      <c r="F15" t="s">
        <v>156</v>
      </c>
      <c r="G15" t="s">
        <v>79</v>
      </c>
      <c r="H15">
        <v>18</v>
      </c>
      <c r="I15">
        <v>1</v>
      </c>
      <c r="J15">
        <v>0</v>
      </c>
      <c r="K15" t="s">
        <v>157</v>
      </c>
      <c r="L15" t="s">
        <v>158</v>
      </c>
      <c r="M15">
        <v>6701432277</v>
      </c>
      <c r="N15" t="s">
        <v>159</v>
      </c>
    </row>
    <row r="16" spans="1:14" x14ac:dyDescent="0.25">
      <c r="A16">
        <v>15</v>
      </c>
      <c r="B16" t="s">
        <v>160</v>
      </c>
      <c r="C16" t="s">
        <v>161</v>
      </c>
      <c r="D16" t="s">
        <v>162</v>
      </c>
      <c r="E16">
        <v>2023</v>
      </c>
      <c r="F16" t="s">
        <v>163</v>
      </c>
      <c r="G16" t="s">
        <v>79</v>
      </c>
      <c r="H16">
        <v>4</v>
      </c>
      <c r="I16">
        <v>1</v>
      </c>
      <c r="J16">
        <v>0</v>
      </c>
      <c r="K16" t="s">
        <v>164</v>
      </c>
      <c r="L16" t="s">
        <v>165</v>
      </c>
      <c r="M16">
        <v>15843258100</v>
      </c>
      <c r="N16" t="s">
        <v>79</v>
      </c>
    </row>
    <row r="17" spans="1:14" x14ac:dyDescent="0.25">
      <c r="A17">
        <v>16</v>
      </c>
      <c r="B17" t="s">
        <v>166</v>
      </c>
      <c r="C17" t="s">
        <v>167</v>
      </c>
      <c r="D17" t="s">
        <v>168</v>
      </c>
      <c r="E17">
        <v>2023</v>
      </c>
      <c r="F17" t="s">
        <v>169</v>
      </c>
      <c r="G17" t="s">
        <v>79</v>
      </c>
      <c r="H17">
        <v>35</v>
      </c>
      <c r="I17">
        <v>2</v>
      </c>
      <c r="J17">
        <v>0</v>
      </c>
      <c r="K17" t="s">
        <v>170</v>
      </c>
      <c r="L17" t="s">
        <v>171</v>
      </c>
      <c r="M17">
        <v>6507255542</v>
      </c>
      <c r="N17">
        <v>6507255542</v>
      </c>
    </row>
    <row r="18" spans="1:14" x14ac:dyDescent="0.25">
      <c r="A18">
        <v>17</v>
      </c>
      <c r="B18" t="s">
        <v>172</v>
      </c>
      <c r="C18" t="s">
        <v>173</v>
      </c>
      <c r="D18" t="s">
        <v>174</v>
      </c>
      <c r="E18">
        <v>2023</v>
      </c>
      <c r="F18" t="s">
        <v>175</v>
      </c>
      <c r="G18" t="s">
        <v>79</v>
      </c>
      <c r="H18">
        <v>12</v>
      </c>
      <c r="I18">
        <v>1</v>
      </c>
      <c r="J18">
        <v>0</v>
      </c>
      <c r="K18" t="s">
        <v>176</v>
      </c>
      <c r="L18" t="s">
        <v>177</v>
      </c>
      <c r="M18">
        <v>7003271292</v>
      </c>
      <c r="N18">
        <v>7003271292</v>
      </c>
    </row>
    <row r="19" spans="1:14" x14ac:dyDescent="0.25">
      <c r="A19">
        <v>18</v>
      </c>
      <c r="B19" t="s">
        <v>178</v>
      </c>
      <c r="C19" t="s">
        <v>179</v>
      </c>
      <c r="D19" t="s">
        <v>180</v>
      </c>
      <c r="E19">
        <v>2023</v>
      </c>
      <c r="F19" t="s">
        <v>181</v>
      </c>
      <c r="G19" t="s">
        <v>79</v>
      </c>
      <c r="H19">
        <v>6</v>
      </c>
      <c r="I19">
        <v>1</v>
      </c>
      <c r="J19">
        <v>0</v>
      </c>
      <c r="K19" t="s">
        <v>182</v>
      </c>
      <c r="L19" t="s">
        <v>183</v>
      </c>
      <c r="M19">
        <v>55324247700</v>
      </c>
      <c r="N19" t="s">
        <v>184</v>
      </c>
    </row>
    <row r="20" spans="1:14" x14ac:dyDescent="0.25">
      <c r="A20">
        <v>19</v>
      </c>
      <c r="B20" t="s">
        <v>185</v>
      </c>
      <c r="C20" t="s">
        <v>186</v>
      </c>
      <c r="D20" t="s">
        <v>187</v>
      </c>
      <c r="E20">
        <v>2023</v>
      </c>
      <c r="F20" t="s">
        <v>188</v>
      </c>
      <c r="G20" t="s">
        <v>79</v>
      </c>
      <c r="H20">
        <v>10</v>
      </c>
      <c r="I20">
        <v>1</v>
      </c>
      <c r="J20">
        <v>0</v>
      </c>
      <c r="K20" t="s">
        <v>189</v>
      </c>
      <c r="L20" t="s">
        <v>190</v>
      </c>
      <c r="M20">
        <v>57194536766</v>
      </c>
      <c r="N20" t="s">
        <v>191</v>
      </c>
    </row>
    <row r="21" spans="1:14" x14ac:dyDescent="0.25">
      <c r="A21">
        <v>20</v>
      </c>
      <c r="B21" t="s">
        <v>192</v>
      </c>
      <c r="C21" t="s">
        <v>193</v>
      </c>
      <c r="D21" t="s">
        <v>194</v>
      </c>
      <c r="E21">
        <v>2023</v>
      </c>
      <c r="F21" t="s">
        <v>195</v>
      </c>
      <c r="G21" t="s">
        <v>79</v>
      </c>
      <c r="H21">
        <v>14</v>
      </c>
      <c r="I21">
        <v>1</v>
      </c>
      <c r="J21">
        <v>0</v>
      </c>
      <c r="K21" t="s">
        <v>196</v>
      </c>
      <c r="L21" t="s">
        <v>197</v>
      </c>
      <c r="M21">
        <v>57194773593</v>
      </c>
      <c r="N21" t="s">
        <v>198</v>
      </c>
    </row>
    <row r="27" spans="1:14" x14ac:dyDescent="0.25">
      <c r="C27" t="s">
        <v>300</v>
      </c>
      <c r="D27" t="s">
        <v>301</v>
      </c>
      <c r="E27" t="s">
        <v>302</v>
      </c>
      <c r="F27" t="s">
        <v>303</v>
      </c>
      <c r="G27" t="s">
        <v>304</v>
      </c>
      <c r="H27" t="s">
        <v>305</v>
      </c>
      <c r="I27" t="s">
        <v>306</v>
      </c>
      <c r="J27" t="s">
        <v>307</v>
      </c>
      <c r="K27" t="s">
        <v>308</v>
      </c>
      <c r="L27" t="s">
        <v>309</v>
      </c>
      <c r="M27" t="s">
        <v>310</v>
      </c>
      <c r="N27" t="s">
        <v>311</v>
      </c>
    </row>
    <row r="28" spans="1:14" x14ac:dyDescent="0.25">
      <c r="B28" t="s">
        <v>380</v>
      </c>
      <c r="C28">
        <v>7</v>
      </c>
      <c r="D28">
        <v>13</v>
      </c>
    </row>
    <row r="29" spans="1:14" x14ac:dyDescent="0.25">
      <c r="B29" t="s">
        <v>299</v>
      </c>
      <c r="C29">
        <v>7</v>
      </c>
      <c r="D29">
        <v>20</v>
      </c>
    </row>
    <row r="30" spans="1:14" x14ac:dyDescent="0.25">
      <c r="B30" t="s">
        <v>200</v>
      </c>
      <c r="C30">
        <v>5</v>
      </c>
      <c r="D30">
        <v>11</v>
      </c>
    </row>
    <row r="35" spans="2:15" x14ac:dyDescent="0.25">
      <c r="B35" t="s">
        <v>199</v>
      </c>
      <c r="C35" t="s">
        <v>300</v>
      </c>
      <c r="D35" t="s">
        <v>301</v>
      </c>
      <c r="E35" t="s">
        <v>302</v>
      </c>
      <c r="F35" t="s">
        <v>303</v>
      </c>
      <c r="G35" t="s">
        <v>304</v>
      </c>
      <c r="H35" t="s">
        <v>305</v>
      </c>
      <c r="I35" t="s">
        <v>306</v>
      </c>
      <c r="J35" t="s">
        <v>307</v>
      </c>
      <c r="K35" t="s">
        <v>308</v>
      </c>
      <c r="L35" t="s">
        <v>309</v>
      </c>
      <c r="M35" t="s">
        <v>310</v>
      </c>
      <c r="N35" t="s">
        <v>311</v>
      </c>
    </row>
    <row r="36" spans="2:15" x14ac:dyDescent="0.25">
      <c r="B36" t="s">
        <v>52</v>
      </c>
      <c r="C36">
        <v>4</v>
      </c>
      <c r="D36">
        <v>5</v>
      </c>
      <c r="O36">
        <f>SUM(C36:N36)</f>
        <v>9</v>
      </c>
    </row>
    <row r="37" spans="2:15" x14ac:dyDescent="0.25">
      <c r="B37" t="s">
        <v>26</v>
      </c>
      <c r="C37">
        <v>1</v>
      </c>
      <c r="D37">
        <v>2</v>
      </c>
      <c r="O37">
        <f t="shared" ref="O37:O43" si="0">SUM(C37:N37)</f>
        <v>3</v>
      </c>
    </row>
    <row r="38" spans="2:15" x14ac:dyDescent="0.25">
      <c r="B38" t="s">
        <v>9</v>
      </c>
      <c r="C38">
        <v>3</v>
      </c>
      <c r="D38">
        <v>6</v>
      </c>
      <c r="O38">
        <f t="shared" si="0"/>
        <v>9</v>
      </c>
    </row>
    <row r="40" spans="2:15" x14ac:dyDescent="0.25">
      <c r="B40" t="s">
        <v>200</v>
      </c>
      <c r="C40" t="s">
        <v>300</v>
      </c>
      <c r="D40" t="s">
        <v>301</v>
      </c>
      <c r="E40" t="s">
        <v>302</v>
      </c>
      <c r="F40" t="s">
        <v>303</v>
      </c>
      <c r="G40" t="s">
        <v>304</v>
      </c>
      <c r="H40" t="s">
        <v>305</v>
      </c>
      <c r="I40" t="s">
        <v>306</v>
      </c>
      <c r="J40" t="s">
        <v>307</v>
      </c>
      <c r="K40" t="s">
        <v>308</v>
      </c>
      <c r="L40" t="s">
        <v>309</v>
      </c>
      <c r="M40" t="s">
        <v>310</v>
      </c>
      <c r="N40" t="s">
        <v>311</v>
      </c>
    </row>
    <row r="41" spans="2:15" x14ac:dyDescent="0.25">
      <c r="B41" t="s">
        <v>52</v>
      </c>
      <c r="C41">
        <v>3</v>
      </c>
      <c r="D41">
        <v>3</v>
      </c>
      <c r="O41">
        <f t="shared" si="0"/>
        <v>6</v>
      </c>
    </row>
    <row r="42" spans="2:15" x14ac:dyDescent="0.25">
      <c r="B42" t="s">
        <v>26</v>
      </c>
      <c r="C42">
        <v>1</v>
      </c>
      <c r="D42">
        <v>1</v>
      </c>
      <c r="O42">
        <f t="shared" si="0"/>
        <v>2</v>
      </c>
    </row>
    <row r="43" spans="2:15" x14ac:dyDescent="0.25">
      <c r="B43" t="s">
        <v>9</v>
      </c>
      <c r="C43">
        <v>3</v>
      </c>
      <c r="D43">
        <v>5</v>
      </c>
      <c r="O43">
        <f t="shared" si="0"/>
        <v>8</v>
      </c>
    </row>
    <row r="45" spans="2:15" x14ac:dyDescent="0.25">
      <c r="C45" t="s">
        <v>315</v>
      </c>
      <c r="D45" t="s">
        <v>316</v>
      </c>
      <c r="E45" t="s">
        <v>317</v>
      </c>
    </row>
    <row r="46" spans="2:15" x14ac:dyDescent="0.25">
      <c r="B46" t="s">
        <v>52</v>
      </c>
      <c r="C46">
        <v>6</v>
      </c>
      <c r="D46">
        <v>2</v>
      </c>
      <c r="E46">
        <v>1</v>
      </c>
    </row>
    <row r="47" spans="2:15" x14ac:dyDescent="0.25">
      <c r="B47" t="s">
        <v>26</v>
      </c>
      <c r="C47">
        <v>2</v>
      </c>
      <c r="D47">
        <v>1</v>
      </c>
    </row>
    <row r="48" spans="2:15" x14ac:dyDescent="0.25">
      <c r="B48" t="s">
        <v>9</v>
      </c>
      <c r="C48">
        <v>8</v>
      </c>
      <c r="E48">
        <v>1</v>
      </c>
    </row>
    <row r="51" spans="2:6" x14ac:dyDescent="0.25">
      <c r="B51" t="s">
        <v>418</v>
      </c>
      <c r="C51" t="s">
        <v>422</v>
      </c>
      <c r="E51" t="s">
        <v>419</v>
      </c>
    </row>
    <row r="52" spans="2:6" x14ac:dyDescent="0.25">
      <c r="B52" t="s">
        <v>52</v>
      </c>
      <c r="C52">
        <f>O36</f>
        <v>9</v>
      </c>
      <c r="D52">
        <v>2</v>
      </c>
      <c r="E52" s="57">
        <f>D52*100/C52</f>
        <v>22.222222222222221</v>
      </c>
      <c r="F52">
        <v>78</v>
      </c>
    </row>
    <row r="53" spans="2:6" x14ac:dyDescent="0.25">
      <c r="B53" t="s">
        <v>26</v>
      </c>
      <c r="C53">
        <f t="shared" ref="C53:C54" si="1">O37</f>
        <v>3</v>
      </c>
      <c r="D53">
        <v>0</v>
      </c>
      <c r="E53" s="57">
        <f t="shared" ref="E53:E54" si="2">D53*100/C53</f>
        <v>0</v>
      </c>
      <c r="F53">
        <v>100</v>
      </c>
    </row>
    <row r="54" spans="2:6" x14ac:dyDescent="0.25">
      <c r="B54" t="s">
        <v>9</v>
      </c>
      <c r="C54">
        <f t="shared" si="1"/>
        <v>9</v>
      </c>
      <c r="D54">
        <v>3</v>
      </c>
      <c r="E54" s="57">
        <f t="shared" si="2"/>
        <v>33.333333333333336</v>
      </c>
      <c r="F54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EEB3-5525-4E14-ACA9-B29056368465}">
  <dimension ref="A1:R34"/>
  <sheetViews>
    <sheetView zoomScale="55" zoomScaleNormal="55" workbookViewId="0">
      <selection activeCell="A11" sqref="A11"/>
    </sheetView>
  </sheetViews>
  <sheetFormatPr defaultRowHeight="15" x14ac:dyDescent="0.25"/>
  <cols>
    <col min="1" max="1" width="5.7109375" customWidth="1"/>
    <col min="2" max="2" width="18.5703125" customWidth="1"/>
    <col min="3" max="3" width="14.7109375"/>
    <col min="4" max="4" width="54" customWidth="1"/>
    <col min="5" max="5" width="23.28515625" customWidth="1"/>
    <col min="6" max="6" width="19" customWidth="1"/>
    <col min="7" max="7" width="20" customWidth="1"/>
    <col min="8" max="8" width="28.7109375" customWidth="1"/>
    <col min="9" max="9" width="19.7109375" bestFit="1" customWidth="1"/>
    <col min="10" max="10" width="14.7109375"/>
    <col min="11" max="11" width="31.28515625" customWidth="1"/>
    <col min="12" max="12" width="36" customWidth="1"/>
    <col min="13" max="13" width="25.5703125" bestFit="1" customWidth="1"/>
    <col min="14" max="14" width="19.42578125" customWidth="1"/>
    <col min="15" max="15" width="146" bestFit="1" customWidth="1"/>
  </cols>
  <sheetData>
    <row r="1" spans="1:15" ht="49.15" customHeight="1" x14ac:dyDescent="0.25">
      <c r="A1" s="120" t="s">
        <v>203</v>
      </c>
      <c r="B1" s="120" t="s">
        <v>204</v>
      </c>
      <c r="C1" s="120" t="s">
        <v>205</v>
      </c>
      <c r="D1" s="120" t="s">
        <v>206</v>
      </c>
      <c r="E1" s="120" t="s">
        <v>207</v>
      </c>
      <c r="F1" s="120" t="s">
        <v>4</v>
      </c>
      <c r="G1" s="120" t="s">
        <v>291</v>
      </c>
      <c r="H1" s="120" t="s">
        <v>292</v>
      </c>
      <c r="I1" s="120" t="s">
        <v>320</v>
      </c>
      <c r="J1" s="120" t="s">
        <v>293</v>
      </c>
      <c r="K1" s="120" t="s">
        <v>208</v>
      </c>
      <c r="L1" s="120" t="s">
        <v>209</v>
      </c>
      <c r="M1" s="121" t="s">
        <v>210</v>
      </c>
      <c r="N1" s="121" t="s">
        <v>211</v>
      </c>
      <c r="O1" s="120" t="s">
        <v>212</v>
      </c>
    </row>
    <row r="2" spans="1:15" ht="24.6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21"/>
      <c r="O2" s="120"/>
    </row>
    <row r="3" spans="1:15" ht="24" x14ac:dyDescent="0.55000000000000004">
      <c r="A3" s="17">
        <v>1</v>
      </c>
      <c r="B3" s="18">
        <v>44930</v>
      </c>
      <c r="C3" s="19" t="s">
        <v>213</v>
      </c>
      <c r="D3" s="19" t="s">
        <v>214</v>
      </c>
      <c r="E3" s="20" t="s">
        <v>215</v>
      </c>
      <c r="F3" s="20" t="s">
        <v>52</v>
      </c>
      <c r="G3" s="21">
        <v>582809.84</v>
      </c>
      <c r="H3" s="21"/>
      <c r="I3" s="21"/>
      <c r="J3" s="21">
        <f>SUM(G3:I3)</f>
        <v>582809.84</v>
      </c>
      <c r="K3" s="19" t="s">
        <v>216</v>
      </c>
      <c r="L3" s="19" t="s">
        <v>217</v>
      </c>
      <c r="M3" s="19" t="s">
        <v>218</v>
      </c>
      <c r="N3" s="20" t="s">
        <v>219</v>
      </c>
      <c r="O3" s="19" t="s">
        <v>220</v>
      </c>
    </row>
    <row r="4" spans="1:15" ht="24" x14ac:dyDescent="0.55000000000000004">
      <c r="A4" s="17">
        <v>2</v>
      </c>
      <c r="B4" s="18">
        <v>44935</v>
      </c>
      <c r="C4" s="19" t="s">
        <v>221</v>
      </c>
      <c r="D4" s="19" t="s">
        <v>222</v>
      </c>
      <c r="E4" s="20" t="s">
        <v>223</v>
      </c>
      <c r="F4" s="20" t="s">
        <v>9</v>
      </c>
      <c r="G4" s="21">
        <v>318929.68</v>
      </c>
      <c r="H4" s="21"/>
      <c r="I4" s="21"/>
      <c r="J4" s="21">
        <f t="shared" ref="J4:J29" si="0">SUM(G4:I4)</f>
        <v>318929.68</v>
      </c>
      <c r="K4" s="19" t="s">
        <v>224</v>
      </c>
      <c r="L4" s="19" t="s">
        <v>225</v>
      </c>
      <c r="M4" s="19" t="s">
        <v>218</v>
      </c>
      <c r="N4" s="20" t="s">
        <v>226</v>
      </c>
      <c r="O4" s="19" t="s">
        <v>227</v>
      </c>
    </row>
    <row r="5" spans="1:15" ht="24" x14ac:dyDescent="0.55000000000000004">
      <c r="A5" s="17">
        <v>3</v>
      </c>
      <c r="B5" s="18">
        <v>44935</v>
      </c>
      <c r="C5" s="19" t="s">
        <v>228</v>
      </c>
      <c r="D5" s="19" t="s">
        <v>229</v>
      </c>
      <c r="E5" s="20" t="s">
        <v>215</v>
      </c>
      <c r="F5" s="20" t="s">
        <v>52</v>
      </c>
      <c r="G5" s="21">
        <v>890169</v>
      </c>
      <c r="H5" s="21"/>
      <c r="I5" s="21"/>
      <c r="J5" s="21">
        <f t="shared" si="0"/>
        <v>890169</v>
      </c>
      <c r="K5" s="19" t="s">
        <v>230</v>
      </c>
      <c r="L5" s="19" t="s">
        <v>225</v>
      </c>
      <c r="M5" s="19" t="s">
        <v>218</v>
      </c>
      <c r="N5" s="20" t="s">
        <v>226</v>
      </c>
      <c r="O5" s="19" t="s">
        <v>231</v>
      </c>
    </row>
    <row r="6" spans="1:15" ht="24" x14ac:dyDescent="0.55000000000000004">
      <c r="A6" s="17">
        <v>4</v>
      </c>
      <c r="B6" s="18">
        <v>44935</v>
      </c>
      <c r="C6" s="19" t="s">
        <v>232</v>
      </c>
      <c r="D6" s="19" t="s">
        <v>233</v>
      </c>
      <c r="E6" s="20" t="s">
        <v>234</v>
      </c>
      <c r="F6" s="20" t="s">
        <v>9</v>
      </c>
      <c r="G6" s="21">
        <v>500000</v>
      </c>
      <c r="H6" s="21"/>
      <c r="I6" s="21"/>
      <c r="J6" s="21">
        <f t="shared" si="0"/>
        <v>500000</v>
      </c>
      <c r="K6" s="19" t="s">
        <v>235</v>
      </c>
      <c r="L6" s="19" t="s">
        <v>236</v>
      </c>
      <c r="M6" s="19" t="s">
        <v>237</v>
      </c>
      <c r="N6" s="20" t="s">
        <v>226</v>
      </c>
      <c r="O6" s="19" t="s">
        <v>238</v>
      </c>
    </row>
    <row r="7" spans="1:15" ht="24" x14ac:dyDescent="0.55000000000000004">
      <c r="A7" s="17">
        <v>5</v>
      </c>
      <c r="B7" s="18">
        <v>44935</v>
      </c>
      <c r="C7" s="19" t="s">
        <v>239</v>
      </c>
      <c r="D7" s="19" t="s">
        <v>240</v>
      </c>
      <c r="E7" s="20" t="s">
        <v>241</v>
      </c>
      <c r="F7" s="20" t="s">
        <v>9</v>
      </c>
      <c r="G7" s="21">
        <v>1500000</v>
      </c>
      <c r="H7" s="21"/>
      <c r="I7" s="21"/>
      <c r="J7" s="21">
        <f t="shared" si="0"/>
        <v>1500000</v>
      </c>
      <c r="K7" s="19" t="s">
        <v>242</v>
      </c>
      <c r="L7" s="19" t="s">
        <v>236</v>
      </c>
      <c r="M7" s="19" t="s">
        <v>237</v>
      </c>
      <c r="N7" s="20" t="s">
        <v>226</v>
      </c>
      <c r="O7" s="19" t="s">
        <v>243</v>
      </c>
    </row>
    <row r="8" spans="1:15" ht="24" x14ac:dyDescent="0.55000000000000004">
      <c r="A8" s="17">
        <v>6</v>
      </c>
      <c r="B8" s="18">
        <v>44939</v>
      </c>
      <c r="C8" s="19" t="s">
        <v>244</v>
      </c>
      <c r="D8" s="19" t="s">
        <v>245</v>
      </c>
      <c r="E8" s="20" t="s">
        <v>246</v>
      </c>
      <c r="F8" s="20" t="s">
        <v>52</v>
      </c>
      <c r="G8" s="21">
        <v>117727.26</v>
      </c>
      <c r="H8" s="21"/>
      <c r="I8" s="21"/>
      <c r="J8" s="21">
        <f t="shared" si="0"/>
        <v>117727.26</v>
      </c>
      <c r="K8" s="19" t="s">
        <v>247</v>
      </c>
      <c r="L8" s="19" t="s">
        <v>248</v>
      </c>
      <c r="M8" s="19" t="s">
        <v>218</v>
      </c>
      <c r="N8" s="20" t="s">
        <v>219</v>
      </c>
      <c r="O8" s="19" t="s">
        <v>249</v>
      </c>
    </row>
    <row r="9" spans="1:15" ht="24" x14ac:dyDescent="0.55000000000000004">
      <c r="A9" s="17">
        <v>7</v>
      </c>
      <c r="B9" s="18">
        <v>44943</v>
      </c>
      <c r="C9" s="19" t="s">
        <v>250</v>
      </c>
      <c r="D9" s="19" t="s">
        <v>251</v>
      </c>
      <c r="E9" s="20" t="s">
        <v>252</v>
      </c>
      <c r="F9" s="20" t="s">
        <v>52</v>
      </c>
      <c r="G9" s="21">
        <v>163050</v>
      </c>
      <c r="H9" s="21"/>
      <c r="I9" s="21"/>
      <c r="J9" s="21">
        <f t="shared" si="0"/>
        <v>163050</v>
      </c>
      <c r="K9" s="19" t="s">
        <v>253</v>
      </c>
      <c r="L9" s="19" t="s">
        <v>254</v>
      </c>
      <c r="M9" s="19" t="s">
        <v>218</v>
      </c>
      <c r="N9" s="20" t="s">
        <v>219</v>
      </c>
      <c r="O9" s="19" t="s">
        <v>255</v>
      </c>
    </row>
    <row r="10" spans="1:15" ht="24" x14ac:dyDescent="0.55000000000000004">
      <c r="A10" s="17"/>
      <c r="B10" s="18">
        <v>44946</v>
      </c>
      <c r="C10" s="19" t="s">
        <v>256</v>
      </c>
      <c r="D10" s="19" t="s">
        <v>257</v>
      </c>
      <c r="E10" s="20"/>
      <c r="F10" s="20" t="s">
        <v>52</v>
      </c>
      <c r="G10" s="21">
        <v>15559.2</v>
      </c>
      <c r="H10" s="21"/>
      <c r="I10" s="21"/>
      <c r="J10" s="21">
        <f t="shared" si="0"/>
        <v>15559.2</v>
      </c>
      <c r="K10" s="19" t="s">
        <v>258</v>
      </c>
      <c r="L10" s="19" t="s">
        <v>259</v>
      </c>
      <c r="M10" s="19" t="s">
        <v>218</v>
      </c>
      <c r="N10" s="20" t="s">
        <v>219</v>
      </c>
      <c r="O10" s="19" t="s">
        <v>260</v>
      </c>
    </row>
    <row r="11" spans="1:15" ht="24" x14ac:dyDescent="0.55000000000000004">
      <c r="A11" s="17">
        <v>8</v>
      </c>
      <c r="B11" s="18">
        <v>44950</v>
      </c>
      <c r="C11" s="19" t="s">
        <v>261</v>
      </c>
      <c r="D11" s="19" t="s">
        <v>262</v>
      </c>
      <c r="E11" s="20" t="s">
        <v>252</v>
      </c>
      <c r="F11" s="20" t="s">
        <v>52</v>
      </c>
      <c r="G11" s="21">
        <v>213279.39</v>
      </c>
      <c r="H11" s="21"/>
      <c r="I11" s="21"/>
      <c r="J11" s="21">
        <f t="shared" si="0"/>
        <v>213279.39</v>
      </c>
      <c r="K11" s="19" t="s">
        <v>263</v>
      </c>
      <c r="L11" s="19" t="s">
        <v>225</v>
      </c>
      <c r="M11" s="19" t="s">
        <v>218</v>
      </c>
      <c r="N11" s="20" t="s">
        <v>226</v>
      </c>
      <c r="O11" s="19" t="s">
        <v>264</v>
      </c>
    </row>
    <row r="12" spans="1:15" ht="24" x14ac:dyDescent="0.55000000000000004">
      <c r="A12" s="17">
        <v>9</v>
      </c>
      <c r="B12" s="18">
        <v>44951</v>
      </c>
      <c r="C12" s="19" t="s">
        <v>265</v>
      </c>
      <c r="D12" s="19" t="s">
        <v>266</v>
      </c>
      <c r="E12" s="20" t="s">
        <v>267</v>
      </c>
      <c r="F12" s="20" t="s">
        <v>52</v>
      </c>
      <c r="G12" s="21">
        <v>360280</v>
      </c>
      <c r="H12" s="21"/>
      <c r="I12" s="21"/>
      <c r="J12" s="21">
        <f t="shared" si="0"/>
        <v>360280</v>
      </c>
      <c r="K12" s="19" t="s">
        <v>268</v>
      </c>
      <c r="L12" s="19" t="s">
        <v>269</v>
      </c>
      <c r="M12" s="19" t="s">
        <v>237</v>
      </c>
      <c r="N12" s="20" t="s">
        <v>226</v>
      </c>
      <c r="O12" s="19" t="s">
        <v>270</v>
      </c>
    </row>
    <row r="13" spans="1:15" ht="24" x14ac:dyDescent="0.55000000000000004">
      <c r="A13" s="17">
        <v>10</v>
      </c>
      <c r="B13" s="18">
        <v>44956</v>
      </c>
      <c r="C13" s="19" t="s">
        <v>271</v>
      </c>
      <c r="D13" s="19" t="s">
        <v>272</v>
      </c>
      <c r="E13" s="20" t="s">
        <v>273</v>
      </c>
      <c r="F13" s="20" t="s">
        <v>52</v>
      </c>
      <c r="G13" s="21">
        <v>55551.86</v>
      </c>
      <c r="H13" s="21"/>
      <c r="I13" s="21"/>
      <c r="J13" s="21">
        <f t="shared" si="0"/>
        <v>55551.86</v>
      </c>
      <c r="K13" s="19" t="s">
        <v>274</v>
      </c>
      <c r="L13" s="19" t="s">
        <v>275</v>
      </c>
      <c r="M13" s="19" t="s">
        <v>218</v>
      </c>
      <c r="N13" s="20" t="s">
        <v>226</v>
      </c>
      <c r="O13" s="19" t="s">
        <v>276</v>
      </c>
    </row>
    <row r="14" spans="1:15" ht="24" x14ac:dyDescent="0.55000000000000004">
      <c r="A14" s="17">
        <v>11</v>
      </c>
      <c r="B14" s="18">
        <v>44957</v>
      </c>
      <c r="C14" s="19" t="s">
        <v>277</v>
      </c>
      <c r="D14" s="19" t="s">
        <v>278</v>
      </c>
      <c r="E14" s="20" t="s">
        <v>279</v>
      </c>
      <c r="F14" s="20" t="s">
        <v>52</v>
      </c>
      <c r="G14" s="21">
        <v>11000</v>
      </c>
      <c r="H14" s="21"/>
      <c r="I14" s="21"/>
      <c r="J14" s="21">
        <f t="shared" si="0"/>
        <v>11000</v>
      </c>
      <c r="K14" s="19" t="s">
        <v>280</v>
      </c>
      <c r="L14" s="19" t="s">
        <v>281</v>
      </c>
      <c r="M14" s="19" t="s">
        <v>237</v>
      </c>
      <c r="N14" s="20" t="s">
        <v>219</v>
      </c>
      <c r="O14" s="19" t="s">
        <v>282</v>
      </c>
    </row>
    <row r="15" spans="1:15" ht="24" x14ac:dyDescent="0.55000000000000004">
      <c r="A15" s="17">
        <v>12</v>
      </c>
      <c r="B15" s="18">
        <v>44963</v>
      </c>
      <c r="C15" s="19" t="s">
        <v>283</v>
      </c>
      <c r="D15" s="19" t="s">
        <v>284</v>
      </c>
      <c r="E15" s="20" t="s">
        <v>252</v>
      </c>
      <c r="F15" s="20" t="s">
        <v>52</v>
      </c>
      <c r="H15" s="21">
        <v>2906354.56</v>
      </c>
      <c r="I15" s="21"/>
      <c r="J15" s="21">
        <f t="shared" si="0"/>
        <v>2906354.56</v>
      </c>
      <c r="K15" s="19" t="s">
        <v>285</v>
      </c>
      <c r="L15" s="19" t="s">
        <v>225</v>
      </c>
      <c r="M15" s="19" t="s">
        <v>218</v>
      </c>
      <c r="N15" s="20" t="s">
        <v>226</v>
      </c>
      <c r="O15" s="19" t="s">
        <v>286</v>
      </c>
    </row>
    <row r="16" spans="1:15" ht="24" x14ac:dyDescent="0.55000000000000004">
      <c r="A16" s="17">
        <v>13</v>
      </c>
      <c r="B16" s="18">
        <v>44963</v>
      </c>
      <c r="C16" s="19" t="s">
        <v>287</v>
      </c>
      <c r="D16" s="19" t="s">
        <v>288</v>
      </c>
      <c r="E16" s="20" t="s">
        <v>223</v>
      </c>
      <c r="F16" s="20" t="s">
        <v>9</v>
      </c>
      <c r="H16" s="21">
        <v>325000</v>
      </c>
      <c r="I16" s="21"/>
      <c r="J16" s="21">
        <f t="shared" si="0"/>
        <v>325000</v>
      </c>
      <c r="K16" s="19" t="s">
        <v>289</v>
      </c>
      <c r="L16" s="19" t="s">
        <v>236</v>
      </c>
      <c r="M16" s="19" t="s">
        <v>237</v>
      </c>
      <c r="N16" s="20" t="s">
        <v>226</v>
      </c>
      <c r="O16" s="19" t="s">
        <v>290</v>
      </c>
    </row>
    <row r="17" spans="1:18" ht="24" x14ac:dyDescent="0.55000000000000004">
      <c r="A17" s="17">
        <v>14</v>
      </c>
      <c r="B17" s="28" t="s">
        <v>321</v>
      </c>
      <c r="C17" s="26" t="s">
        <v>322</v>
      </c>
      <c r="D17" s="26" t="s">
        <v>323</v>
      </c>
      <c r="E17" s="26" t="s">
        <v>324</v>
      </c>
      <c r="F17" s="20" t="s">
        <v>52</v>
      </c>
      <c r="H17" s="27">
        <v>1411905.6</v>
      </c>
      <c r="J17" s="21">
        <f t="shared" si="0"/>
        <v>1411905.6</v>
      </c>
      <c r="K17" s="26" t="s">
        <v>325</v>
      </c>
      <c r="L17" s="26" t="s">
        <v>326</v>
      </c>
      <c r="M17" s="19" t="s">
        <v>218</v>
      </c>
      <c r="N17" s="28" t="s">
        <v>226</v>
      </c>
      <c r="O17" s="26" t="s">
        <v>327</v>
      </c>
    </row>
    <row r="18" spans="1:18" ht="24" x14ac:dyDescent="0.55000000000000004">
      <c r="A18" s="17">
        <v>15</v>
      </c>
      <c r="B18" s="28" t="s">
        <v>321</v>
      </c>
      <c r="C18" s="26" t="s">
        <v>322</v>
      </c>
      <c r="D18" s="26" t="s">
        <v>323</v>
      </c>
      <c r="E18" s="26" t="s">
        <v>324</v>
      </c>
      <c r="F18" s="20" t="s">
        <v>52</v>
      </c>
      <c r="H18" s="27">
        <v>863352</v>
      </c>
      <c r="J18" s="21">
        <f t="shared" si="0"/>
        <v>863352</v>
      </c>
      <c r="K18" s="26" t="s">
        <v>325</v>
      </c>
      <c r="L18" s="26" t="s">
        <v>326</v>
      </c>
      <c r="M18" s="19" t="s">
        <v>218</v>
      </c>
      <c r="N18" s="28" t="s">
        <v>226</v>
      </c>
      <c r="O18" s="26" t="s">
        <v>328</v>
      </c>
    </row>
    <row r="19" spans="1:18" ht="24" x14ac:dyDescent="0.55000000000000004">
      <c r="A19" s="17">
        <v>16</v>
      </c>
      <c r="B19" s="28" t="s">
        <v>321</v>
      </c>
      <c r="C19" s="26" t="s">
        <v>329</v>
      </c>
      <c r="D19" s="26" t="s">
        <v>330</v>
      </c>
      <c r="E19" s="26" t="s">
        <v>331</v>
      </c>
      <c r="F19" s="20" t="s">
        <v>52</v>
      </c>
      <c r="H19" s="27">
        <v>247000</v>
      </c>
      <c r="J19" s="21">
        <f t="shared" si="0"/>
        <v>247000</v>
      </c>
      <c r="K19" s="26" t="s">
        <v>332</v>
      </c>
      <c r="L19" s="26" t="s">
        <v>333</v>
      </c>
      <c r="M19" s="19" t="s">
        <v>237</v>
      </c>
      <c r="N19" s="28" t="s">
        <v>226</v>
      </c>
      <c r="O19" s="26" t="s">
        <v>334</v>
      </c>
    </row>
    <row r="20" spans="1:18" ht="24" x14ac:dyDescent="0.55000000000000004">
      <c r="A20" s="17">
        <v>17</v>
      </c>
      <c r="B20" s="28" t="s">
        <v>335</v>
      </c>
      <c r="C20" s="26" t="s">
        <v>336</v>
      </c>
      <c r="D20" s="26" t="s">
        <v>337</v>
      </c>
      <c r="E20" s="26" t="s">
        <v>252</v>
      </c>
      <c r="F20" s="20" t="s">
        <v>52</v>
      </c>
      <c r="H20" s="27">
        <v>240475.2</v>
      </c>
      <c r="J20" s="21">
        <f t="shared" si="0"/>
        <v>240475.2</v>
      </c>
      <c r="K20" s="26" t="s">
        <v>338</v>
      </c>
      <c r="L20" s="26" t="s">
        <v>326</v>
      </c>
      <c r="M20" s="19" t="s">
        <v>218</v>
      </c>
      <c r="N20" s="28" t="s">
        <v>226</v>
      </c>
      <c r="O20" s="26" t="s">
        <v>339</v>
      </c>
    </row>
    <row r="21" spans="1:18" ht="24" x14ac:dyDescent="0.55000000000000004">
      <c r="A21" s="17">
        <v>18</v>
      </c>
      <c r="B21" s="28" t="s">
        <v>335</v>
      </c>
      <c r="C21" s="26" t="s">
        <v>340</v>
      </c>
      <c r="D21" s="26" t="s">
        <v>341</v>
      </c>
      <c r="E21" s="26" t="s">
        <v>342</v>
      </c>
      <c r="F21" s="20" t="s">
        <v>9</v>
      </c>
      <c r="H21" s="27">
        <v>25000</v>
      </c>
      <c r="J21" s="21">
        <f t="shared" si="0"/>
        <v>25000</v>
      </c>
      <c r="K21" s="26" t="s">
        <v>343</v>
      </c>
      <c r="L21" s="26" t="s">
        <v>344</v>
      </c>
      <c r="M21" s="28" t="s">
        <v>344</v>
      </c>
      <c r="N21" s="28" t="s">
        <v>226</v>
      </c>
      <c r="O21" s="26" t="s">
        <v>345</v>
      </c>
    </row>
    <row r="22" spans="1:18" ht="24" x14ac:dyDescent="0.55000000000000004">
      <c r="A22" s="17">
        <v>19</v>
      </c>
      <c r="B22" s="28" t="s">
        <v>335</v>
      </c>
      <c r="C22" s="26" t="s">
        <v>346</v>
      </c>
      <c r="D22" s="26" t="s">
        <v>347</v>
      </c>
      <c r="E22" s="26" t="s">
        <v>348</v>
      </c>
      <c r="F22" s="20" t="s">
        <v>52</v>
      </c>
      <c r="H22" s="27">
        <v>25000</v>
      </c>
      <c r="J22" s="21">
        <f t="shared" si="0"/>
        <v>25000</v>
      </c>
      <c r="K22" s="26" t="s">
        <v>349</v>
      </c>
      <c r="L22" s="26" t="s">
        <v>344</v>
      </c>
      <c r="M22" s="28" t="s">
        <v>344</v>
      </c>
      <c r="N22" s="28" t="s">
        <v>226</v>
      </c>
      <c r="O22" s="26" t="s">
        <v>345</v>
      </c>
    </row>
    <row r="23" spans="1:18" ht="24" x14ac:dyDescent="0.55000000000000004">
      <c r="A23" s="17">
        <v>20</v>
      </c>
      <c r="B23" s="28" t="s">
        <v>350</v>
      </c>
      <c r="C23" s="26" t="s">
        <v>283</v>
      </c>
      <c r="D23" s="26" t="s">
        <v>284</v>
      </c>
      <c r="E23" s="26" t="s">
        <v>252</v>
      </c>
      <c r="F23" s="20" t="s">
        <v>52</v>
      </c>
      <c r="H23" s="27">
        <v>8419784.9100000001</v>
      </c>
      <c r="J23" s="21">
        <f t="shared" si="0"/>
        <v>8419784.9100000001</v>
      </c>
      <c r="K23" s="26" t="s">
        <v>285</v>
      </c>
      <c r="L23" s="26" t="s">
        <v>326</v>
      </c>
      <c r="M23" s="19" t="s">
        <v>218</v>
      </c>
      <c r="N23" s="28" t="s">
        <v>226</v>
      </c>
      <c r="O23" s="26" t="s">
        <v>351</v>
      </c>
    </row>
    <row r="24" spans="1:18" ht="24" x14ac:dyDescent="0.55000000000000004">
      <c r="A24" s="17">
        <v>21</v>
      </c>
      <c r="B24" s="28" t="s">
        <v>352</v>
      </c>
      <c r="C24" s="26" t="s">
        <v>336</v>
      </c>
      <c r="D24" s="26" t="s">
        <v>337</v>
      </c>
      <c r="E24" s="26" t="s">
        <v>252</v>
      </c>
      <c r="F24" s="20" t="s">
        <v>52</v>
      </c>
      <c r="H24" s="27">
        <v>444245.88</v>
      </c>
      <c r="J24" s="21">
        <f t="shared" si="0"/>
        <v>444245.88</v>
      </c>
      <c r="K24" s="26" t="s">
        <v>338</v>
      </c>
      <c r="L24" s="26" t="s">
        <v>326</v>
      </c>
      <c r="M24" s="19" t="s">
        <v>218</v>
      </c>
      <c r="N24" s="28" t="s">
        <v>226</v>
      </c>
      <c r="O24" s="26" t="s">
        <v>353</v>
      </c>
    </row>
    <row r="25" spans="1:18" ht="24" x14ac:dyDescent="0.55000000000000004">
      <c r="A25" s="17">
        <v>22</v>
      </c>
      <c r="B25" s="28" t="s">
        <v>354</v>
      </c>
      <c r="C25" s="26" t="s">
        <v>355</v>
      </c>
      <c r="D25" s="26" t="s">
        <v>356</v>
      </c>
      <c r="E25" s="26" t="s">
        <v>357</v>
      </c>
      <c r="F25" s="20" t="s">
        <v>9</v>
      </c>
      <c r="H25" s="27">
        <v>148500</v>
      </c>
      <c r="J25" s="21">
        <f t="shared" si="0"/>
        <v>148500</v>
      </c>
      <c r="K25" s="26" t="s">
        <v>358</v>
      </c>
      <c r="L25" s="26" t="s">
        <v>359</v>
      </c>
      <c r="M25" s="19" t="s">
        <v>237</v>
      </c>
      <c r="N25" s="28" t="s">
        <v>226</v>
      </c>
      <c r="O25" s="26" t="s">
        <v>360</v>
      </c>
    </row>
    <row r="26" spans="1:18" ht="24" x14ac:dyDescent="0.55000000000000004">
      <c r="A26" s="17">
        <v>23</v>
      </c>
      <c r="B26" s="28" t="s">
        <v>354</v>
      </c>
      <c r="C26" s="26" t="s">
        <v>361</v>
      </c>
      <c r="D26" s="26" t="s">
        <v>362</v>
      </c>
      <c r="E26" s="26" t="s">
        <v>252</v>
      </c>
      <c r="F26" s="20" t="s">
        <v>52</v>
      </c>
      <c r="H26" s="27">
        <v>870240</v>
      </c>
      <c r="J26" s="21">
        <f t="shared" si="0"/>
        <v>870240</v>
      </c>
      <c r="K26" s="26" t="s">
        <v>363</v>
      </c>
      <c r="L26" s="26" t="s">
        <v>364</v>
      </c>
      <c r="M26" s="19" t="s">
        <v>218</v>
      </c>
      <c r="N26" s="28" t="s">
        <v>219</v>
      </c>
      <c r="O26" s="26" t="s">
        <v>365</v>
      </c>
    </row>
    <row r="27" spans="1:18" ht="24" x14ac:dyDescent="0.55000000000000004">
      <c r="A27" s="17">
        <v>24</v>
      </c>
      <c r="B27" s="28" t="s">
        <v>354</v>
      </c>
      <c r="C27" s="26" t="s">
        <v>366</v>
      </c>
      <c r="D27" s="26" t="s">
        <v>367</v>
      </c>
      <c r="E27" s="26" t="s">
        <v>357</v>
      </c>
      <c r="F27" s="20" t="s">
        <v>9</v>
      </c>
      <c r="H27" s="27">
        <v>50000</v>
      </c>
      <c r="J27" s="21">
        <f t="shared" si="0"/>
        <v>50000</v>
      </c>
      <c r="K27" s="26" t="s">
        <v>368</v>
      </c>
      <c r="L27" s="26" t="s">
        <v>359</v>
      </c>
      <c r="M27" s="19" t="s">
        <v>237</v>
      </c>
      <c r="N27" s="28" t="s">
        <v>226</v>
      </c>
      <c r="O27" s="26" t="s">
        <v>369</v>
      </c>
    </row>
    <row r="28" spans="1:18" ht="24" x14ac:dyDescent="0.55000000000000004">
      <c r="A28" s="17">
        <v>25</v>
      </c>
      <c r="B28" s="28" t="s">
        <v>370</v>
      </c>
      <c r="C28" s="26" t="s">
        <v>277</v>
      </c>
      <c r="D28" s="26" t="s">
        <v>278</v>
      </c>
      <c r="E28" s="26" t="s">
        <v>371</v>
      </c>
      <c r="F28" s="20" t="s">
        <v>52</v>
      </c>
      <c r="H28" s="27">
        <v>16500</v>
      </c>
      <c r="J28" s="21">
        <f t="shared" si="0"/>
        <v>16500</v>
      </c>
      <c r="K28" s="26" t="s">
        <v>280</v>
      </c>
      <c r="L28" s="26" t="s">
        <v>281</v>
      </c>
      <c r="M28" s="19" t="s">
        <v>237</v>
      </c>
      <c r="N28" s="28" t="s">
        <v>219</v>
      </c>
      <c r="O28" s="26" t="s">
        <v>372</v>
      </c>
    </row>
    <row r="29" spans="1:18" ht="24" x14ac:dyDescent="0.55000000000000004">
      <c r="A29" s="17">
        <v>26</v>
      </c>
      <c r="B29" s="28" t="s">
        <v>373</v>
      </c>
      <c r="C29" s="26" t="s">
        <v>374</v>
      </c>
      <c r="D29" s="26" t="s">
        <v>375</v>
      </c>
      <c r="E29" s="26" t="s">
        <v>376</v>
      </c>
      <c r="F29" s="20" t="s">
        <v>52</v>
      </c>
      <c r="I29" s="27">
        <v>1237406.8600000001</v>
      </c>
      <c r="J29" s="21">
        <f t="shared" si="0"/>
        <v>1237406.8600000001</v>
      </c>
      <c r="K29" s="26" t="s">
        <v>377</v>
      </c>
      <c r="L29" s="26" t="s">
        <v>378</v>
      </c>
      <c r="M29" s="19" t="s">
        <v>237</v>
      </c>
      <c r="N29" s="28" t="s">
        <v>226</v>
      </c>
      <c r="O29" s="26" t="s">
        <v>379</v>
      </c>
    </row>
    <row r="30" spans="1:18" ht="24" x14ac:dyDescent="0.55000000000000004">
      <c r="A30" s="17"/>
      <c r="B30" s="28"/>
      <c r="C30" s="26"/>
      <c r="D30" s="26"/>
      <c r="E30" s="26"/>
      <c r="F30" s="20"/>
      <c r="I30" s="27"/>
      <c r="J30" s="21"/>
      <c r="K30" s="26"/>
      <c r="L30" s="26"/>
      <c r="M30" s="19"/>
      <c r="N30" s="28"/>
      <c r="O30" s="26"/>
    </row>
    <row r="31" spans="1:18" ht="24" x14ac:dyDescent="0.55000000000000004">
      <c r="A31" s="17"/>
      <c r="B31" s="28"/>
      <c r="C31" s="26"/>
      <c r="D31" s="26"/>
      <c r="E31" s="26"/>
      <c r="F31" s="20"/>
      <c r="I31" s="27"/>
      <c r="J31" s="21"/>
      <c r="K31" s="26"/>
      <c r="L31" s="26"/>
      <c r="M31" s="19"/>
      <c r="N31" s="28"/>
      <c r="O31" s="26"/>
    </row>
    <row r="32" spans="1:18" x14ac:dyDescent="0.25">
      <c r="G32" t="s">
        <v>300</v>
      </c>
      <c r="H32" t="s">
        <v>301</v>
      </c>
      <c r="I32" t="s">
        <v>302</v>
      </c>
      <c r="J32" t="s">
        <v>303</v>
      </c>
      <c r="K32" t="s">
        <v>304</v>
      </c>
      <c r="L32" t="s">
        <v>305</v>
      </c>
      <c r="M32" t="s">
        <v>306</v>
      </c>
      <c r="N32" t="s">
        <v>307</v>
      </c>
      <c r="O32" t="s">
        <v>308</v>
      </c>
      <c r="P32" t="s">
        <v>309</v>
      </c>
      <c r="Q32" t="s">
        <v>310</v>
      </c>
      <c r="R32" t="s">
        <v>311</v>
      </c>
    </row>
    <row r="33" spans="4:10" ht="24" x14ac:dyDescent="0.55000000000000004">
      <c r="D33" s="26" t="s">
        <v>380</v>
      </c>
      <c r="G33" s="29">
        <f>SUM(G3:G32)/1000000</f>
        <v>4.7283562300000002</v>
      </c>
      <c r="H33" s="29">
        <f>SUM(H3:H32)/1000000</f>
        <v>15.993358150000001</v>
      </c>
      <c r="I33" s="29">
        <f>SUM(I3:I32)/1000000</f>
        <v>1.2374068600000001</v>
      </c>
      <c r="J33" s="29"/>
    </row>
    <row r="34" spans="4:10" ht="24" x14ac:dyDescent="0.55000000000000004">
      <c r="D34" s="26" t="s">
        <v>299</v>
      </c>
      <c r="G34" s="29">
        <f>G33</f>
        <v>4.7283562300000002</v>
      </c>
      <c r="H34" s="29">
        <f>G34+H33</f>
        <v>20.721714380000002</v>
      </c>
      <c r="I34" s="29">
        <f>H34+I33</f>
        <v>21.959121240000002</v>
      </c>
    </row>
  </sheetData>
  <mergeCells count="15">
    <mergeCell ref="G1:G2"/>
    <mergeCell ref="H1:H2"/>
    <mergeCell ref="J1:J2"/>
    <mergeCell ref="A1:A2"/>
    <mergeCell ref="B1:B2"/>
    <mergeCell ref="C1:C2"/>
    <mergeCell ref="D1:D2"/>
    <mergeCell ref="E1:E2"/>
    <mergeCell ref="F1:F2"/>
    <mergeCell ref="I1:I2"/>
    <mergeCell ref="K1:K2"/>
    <mergeCell ref="L1:L2"/>
    <mergeCell ref="M1:M2"/>
    <mergeCell ref="N1:N2"/>
    <mergeCell ref="O1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BDA3-5887-471C-8F0E-C3F336BE63C4}">
  <dimension ref="A1:S27"/>
  <sheetViews>
    <sheetView topLeftCell="A5" zoomScale="85" zoomScaleNormal="85" workbookViewId="0">
      <selection activeCell="A11" sqref="A11"/>
    </sheetView>
  </sheetViews>
  <sheetFormatPr defaultRowHeight="15" x14ac:dyDescent="0.25"/>
  <cols>
    <col min="1" max="1" width="36.5703125" customWidth="1"/>
    <col min="2" max="2" width="11" bestFit="1" customWidth="1"/>
    <col min="3" max="3" width="12.28515625" customWidth="1"/>
    <col min="4" max="5" width="13.28515625" bestFit="1" customWidth="1"/>
    <col min="6" max="6" width="11.7109375" bestFit="1" customWidth="1"/>
    <col min="7" max="7" width="11.28515625" bestFit="1" customWidth="1"/>
    <col min="18" max="18" width="11.7109375" bestFit="1" customWidth="1"/>
  </cols>
  <sheetData>
    <row r="1" spans="1:19" ht="21" x14ac:dyDescent="0.45">
      <c r="A1" s="125" t="s">
        <v>383</v>
      </c>
      <c r="B1" s="125" t="s">
        <v>384</v>
      </c>
      <c r="C1" s="127" t="s">
        <v>385</v>
      </c>
      <c r="D1" s="127" t="s">
        <v>386</v>
      </c>
      <c r="E1" s="127">
        <v>2565</v>
      </c>
      <c r="F1" s="122">
        <v>2566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4"/>
      <c r="R1" s="51"/>
    </row>
    <row r="2" spans="1:19" ht="21" x14ac:dyDescent="0.45">
      <c r="A2" s="126"/>
      <c r="B2" s="126"/>
      <c r="C2" s="128"/>
      <c r="D2" s="128"/>
      <c r="E2" s="128"/>
      <c r="F2" s="30" t="s">
        <v>300</v>
      </c>
      <c r="G2" s="30" t="s">
        <v>301</v>
      </c>
      <c r="H2" s="30" t="s">
        <v>302</v>
      </c>
      <c r="I2" s="30" t="s">
        <v>303</v>
      </c>
      <c r="J2" s="30" t="s">
        <v>304</v>
      </c>
      <c r="K2" s="30" t="s">
        <v>305</v>
      </c>
      <c r="L2" s="30" t="s">
        <v>306</v>
      </c>
      <c r="M2" s="30" t="s">
        <v>307</v>
      </c>
      <c r="N2" s="30" t="s">
        <v>308</v>
      </c>
      <c r="O2" s="30" t="s">
        <v>309</v>
      </c>
      <c r="P2" s="30" t="s">
        <v>310</v>
      </c>
      <c r="Q2" s="30" t="s">
        <v>311</v>
      </c>
      <c r="R2" s="52" t="s">
        <v>411</v>
      </c>
    </row>
    <row r="3" spans="1:19" ht="21" x14ac:dyDescent="0.45">
      <c r="A3" s="31" t="s">
        <v>387</v>
      </c>
      <c r="B3" s="31"/>
      <c r="C3" s="32"/>
      <c r="D3" s="32"/>
      <c r="E3" s="33"/>
      <c r="F3" s="33">
        <f>SUM(F4:F6)</f>
        <v>54880</v>
      </c>
      <c r="G3" s="33">
        <f t="shared" ref="G3:Q3" si="0">SUM(G4:G6)</f>
        <v>80335</v>
      </c>
      <c r="H3" s="33">
        <f t="shared" si="0"/>
        <v>0</v>
      </c>
      <c r="I3" s="33">
        <f t="shared" si="0"/>
        <v>0</v>
      </c>
      <c r="J3" s="33">
        <f t="shared" si="0"/>
        <v>0</v>
      </c>
      <c r="K3" s="33">
        <f t="shared" si="0"/>
        <v>0</v>
      </c>
      <c r="L3" s="33">
        <f t="shared" si="0"/>
        <v>0</v>
      </c>
      <c r="M3" s="33">
        <f t="shared" si="0"/>
        <v>0</v>
      </c>
      <c r="N3" s="33">
        <f t="shared" si="0"/>
        <v>0</v>
      </c>
      <c r="O3" s="33">
        <f t="shared" si="0"/>
        <v>0</v>
      </c>
      <c r="P3" s="33">
        <f t="shared" si="0"/>
        <v>0</v>
      </c>
      <c r="Q3" s="33">
        <f t="shared" si="0"/>
        <v>0</v>
      </c>
      <c r="R3" s="33">
        <f>SUM(F3:Q3)</f>
        <v>135215</v>
      </c>
      <c r="S3" t="s">
        <v>407</v>
      </c>
    </row>
    <row r="4" spans="1:19" ht="21" x14ac:dyDescent="0.45">
      <c r="A4" s="34" t="s">
        <v>388</v>
      </c>
      <c r="B4" s="35" t="s">
        <v>52</v>
      </c>
      <c r="C4" s="36" t="s">
        <v>389</v>
      </c>
      <c r="D4" s="36" t="s">
        <v>389</v>
      </c>
      <c r="E4" s="36" t="s">
        <v>389</v>
      </c>
      <c r="F4" s="37">
        <v>100</v>
      </c>
      <c r="G4" s="37">
        <v>0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51"/>
    </row>
    <row r="5" spans="1:19" ht="21" x14ac:dyDescent="0.45">
      <c r="A5" s="34" t="s">
        <v>390</v>
      </c>
      <c r="B5" s="35" t="s">
        <v>52</v>
      </c>
      <c r="C5" s="36" t="s">
        <v>389</v>
      </c>
      <c r="D5" s="36" t="s">
        <v>389</v>
      </c>
      <c r="E5" s="36" t="s">
        <v>389</v>
      </c>
      <c r="F5" s="38">
        <v>0</v>
      </c>
      <c r="G5" s="37">
        <v>400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51"/>
    </row>
    <row r="6" spans="1:19" ht="21" x14ac:dyDescent="0.45">
      <c r="A6" s="34" t="s">
        <v>391</v>
      </c>
      <c r="B6" s="35" t="s">
        <v>52</v>
      </c>
      <c r="C6" s="36" t="s">
        <v>389</v>
      </c>
      <c r="D6" s="36" t="s">
        <v>389</v>
      </c>
      <c r="E6" s="37">
        <v>190985</v>
      </c>
      <c r="F6" s="37">
        <v>54780</v>
      </c>
      <c r="G6" s="37">
        <v>79935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51"/>
    </row>
    <row r="7" spans="1:19" ht="21" x14ac:dyDescent="0.45">
      <c r="A7" s="39" t="s">
        <v>392</v>
      </c>
      <c r="B7" s="39"/>
      <c r="C7" s="40"/>
      <c r="D7" s="40"/>
      <c r="E7" s="33"/>
      <c r="F7" s="33">
        <f>SUM(F8:F14)</f>
        <v>225180</v>
      </c>
      <c r="G7" s="33">
        <f t="shared" ref="G7:Q7" si="1">SUM(G8:G14)</f>
        <v>170370</v>
      </c>
      <c r="H7" s="33">
        <f t="shared" si="1"/>
        <v>0</v>
      </c>
      <c r="I7" s="33">
        <f t="shared" si="1"/>
        <v>0</v>
      </c>
      <c r="J7" s="33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O7" s="33">
        <f t="shared" si="1"/>
        <v>0</v>
      </c>
      <c r="P7" s="33">
        <f t="shared" si="1"/>
        <v>0</v>
      </c>
      <c r="Q7" s="33">
        <f t="shared" si="1"/>
        <v>0</v>
      </c>
      <c r="R7" s="53">
        <f>SUM(F7:Q7)</f>
        <v>395550</v>
      </c>
      <c r="S7" t="s">
        <v>408</v>
      </c>
    </row>
    <row r="8" spans="1:19" ht="21" x14ac:dyDescent="0.45">
      <c r="A8" s="41" t="s">
        <v>393</v>
      </c>
      <c r="B8" s="42" t="s">
        <v>9</v>
      </c>
      <c r="C8" s="43">
        <v>20000</v>
      </c>
      <c r="D8" s="43">
        <v>484000</v>
      </c>
      <c r="E8" s="43">
        <v>326000</v>
      </c>
      <c r="F8" s="38">
        <v>0</v>
      </c>
      <c r="G8" s="37">
        <v>0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51"/>
    </row>
    <row r="9" spans="1:19" ht="21" x14ac:dyDescent="0.45">
      <c r="A9" s="44" t="s">
        <v>394</v>
      </c>
      <c r="B9" s="35" t="s">
        <v>9</v>
      </c>
      <c r="C9" s="43">
        <v>28300</v>
      </c>
      <c r="D9" s="43">
        <v>424400</v>
      </c>
      <c r="E9" s="43">
        <v>3115300</v>
      </c>
      <c r="F9" s="38">
        <v>94300</v>
      </c>
      <c r="G9" s="37">
        <v>169050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51"/>
    </row>
    <row r="10" spans="1:19" ht="21" x14ac:dyDescent="0.45">
      <c r="A10" s="44" t="s">
        <v>395</v>
      </c>
      <c r="B10" s="35" t="s">
        <v>26</v>
      </c>
      <c r="C10" s="37">
        <v>17160</v>
      </c>
      <c r="D10" s="37">
        <v>16500</v>
      </c>
      <c r="E10" s="37">
        <v>21810</v>
      </c>
      <c r="F10" s="37">
        <v>1650</v>
      </c>
      <c r="G10" s="37">
        <v>1320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51"/>
    </row>
    <row r="11" spans="1:19" ht="21" x14ac:dyDescent="0.45">
      <c r="A11" s="41" t="s">
        <v>396</v>
      </c>
      <c r="B11" s="42" t="s">
        <v>397</v>
      </c>
      <c r="C11" s="36" t="s">
        <v>389</v>
      </c>
      <c r="D11" s="37">
        <v>245800</v>
      </c>
      <c r="E11" s="37">
        <v>612350</v>
      </c>
      <c r="F11" s="38">
        <v>0</v>
      </c>
      <c r="G11" s="37">
        <v>0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51"/>
    </row>
    <row r="12" spans="1:19" ht="21" x14ac:dyDescent="0.45">
      <c r="A12" s="41" t="s">
        <v>398</v>
      </c>
      <c r="B12" s="42" t="s">
        <v>397</v>
      </c>
      <c r="C12" s="36" t="s">
        <v>389</v>
      </c>
      <c r="D12" s="37">
        <v>303450</v>
      </c>
      <c r="E12" s="37">
        <v>370150.13</v>
      </c>
      <c r="F12" s="38">
        <v>0</v>
      </c>
      <c r="G12" s="37">
        <v>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51"/>
    </row>
    <row r="13" spans="1:19" ht="21" x14ac:dyDescent="0.45">
      <c r="A13" s="41" t="s">
        <v>399</v>
      </c>
      <c r="B13" s="42" t="s">
        <v>397</v>
      </c>
      <c r="C13" s="36" t="s">
        <v>389</v>
      </c>
      <c r="D13" s="37">
        <v>63000</v>
      </c>
      <c r="E13" s="37">
        <v>642670</v>
      </c>
      <c r="F13" s="37">
        <v>69680</v>
      </c>
      <c r="G13" s="38">
        <v>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51"/>
    </row>
    <row r="14" spans="1:19" ht="21" x14ac:dyDescent="0.45">
      <c r="A14" s="41" t="s">
        <v>400</v>
      </c>
      <c r="B14" s="42" t="s">
        <v>397</v>
      </c>
      <c r="C14" s="36" t="s">
        <v>389</v>
      </c>
      <c r="D14" s="37">
        <v>9000</v>
      </c>
      <c r="E14" s="37">
        <v>1597125</v>
      </c>
      <c r="F14" s="37">
        <v>59550</v>
      </c>
      <c r="G14" s="38">
        <v>0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51"/>
    </row>
    <row r="15" spans="1:19" ht="21" x14ac:dyDescent="0.45">
      <c r="A15" s="39" t="s">
        <v>401</v>
      </c>
      <c r="B15" s="45"/>
      <c r="C15" s="33"/>
      <c r="D15" s="33"/>
      <c r="E15" s="33"/>
      <c r="F15" s="33">
        <f>SUM(F16)</f>
        <v>0</v>
      </c>
      <c r="G15" s="33">
        <f t="shared" ref="G15:Q15" si="2">SUM(G16)</f>
        <v>0</v>
      </c>
      <c r="H15" s="33">
        <f t="shared" si="2"/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3">
        <f t="shared" si="2"/>
        <v>0</v>
      </c>
      <c r="O15" s="33">
        <f t="shared" si="2"/>
        <v>0</v>
      </c>
      <c r="P15" s="33">
        <f t="shared" si="2"/>
        <v>0</v>
      </c>
      <c r="Q15" s="33">
        <f t="shared" si="2"/>
        <v>0</v>
      </c>
      <c r="R15" s="53">
        <f>SUM(F15:Q15)</f>
        <v>0</v>
      </c>
      <c r="S15" t="s">
        <v>409</v>
      </c>
    </row>
    <row r="16" spans="1:19" ht="21" x14ac:dyDescent="0.45">
      <c r="A16" s="41" t="s">
        <v>402</v>
      </c>
      <c r="B16" s="42" t="s">
        <v>403</v>
      </c>
      <c r="C16" s="36" t="s">
        <v>389</v>
      </c>
      <c r="D16" s="36" t="s">
        <v>389</v>
      </c>
      <c r="E16" s="37">
        <v>371840</v>
      </c>
      <c r="F16" s="38">
        <v>0</v>
      </c>
      <c r="G16" s="37">
        <v>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51"/>
    </row>
    <row r="17" spans="1:19" ht="21" x14ac:dyDescent="0.45">
      <c r="A17" s="46" t="s">
        <v>404</v>
      </c>
      <c r="B17" s="47"/>
      <c r="C17" s="33"/>
      <c r="D17" s="33"/>
      <c r="E17" s="33"/>
      <c r="F17" s="33">
        <f>SUM(F18)</f>
        <v>0</v>
      </c>
      <c r="G17" s="33">
        <f t="shared" ref="G17:Q17" si="3">SUM(G18)</f>
        <v>0</v>
      </c>
      <c r="H17" s="33">
        <f t="shared" si="3"/>
        <v>0</v>
      </c>
      <c r="I17" s="33">
        <f t="shared" si="3"/>
        <v>0</v>
      </c>
      <c r="J17" s="33">
        <f t="shared" si="3"/>
        <v>0</v>
      </c>
      <c r="K17" s="33">
        <f t="shared" si="3"/>
        <v>0</v>
      </c>
      <c r="L17" s="33">
        <f t="shared" si="3"/>
        <v>0</v>
      </c>
      <c r="M17" s="33">
        <f t="shared" si="3"/>
        <v>0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3"/>
        <v>0</v>
      </c>
      <c r="R17" s="53">
        <f>SUM(F17:Q17)</f>
        <v>0</v>
      </c>
      <c r="S17" t="s">
        <v>410</v>
      </c>
    </row>
    <row r="18" spans="1:19" ht="21" x14ac:dyDescent="0.45">
      <c r="A18" s="41" t="s">
        <v>405</v>
      </c>
      <c r="B18" s="42" t="s">
        <v>397</v>
      </c>
      <c r="C18" s="37">
        <v>10000</v>
      </c>
      <c r="D18" s="37">
        <v>20000</v>
      </c>
      <c r="E18" s="37">
        <v>15000</v>
      </c>
      <c r="F18" s="38">
        <v>0</v>
      </c>
      <c r="G18" s="37">
        <v>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51"/>
    </row>
    <row r="19" spans="1:19" ht="21" x14ac:dyDescent="0.25">
      <c r="A19" s="48" t="s">
        <v>406</v>
      </c>
      <c r="B19" s="48" t="s">
        <v>51</v>
      </c>
      <c r="C19" s="49">
        <f>SUM(C4:C18)</f>
        <v>75460</v>
      </c>
      <c r="D19" s="49">
        <f t="shared" ref="D19:F19" si="4">SUM(D4:D18)</f>
        <v>1566150</v>
      </c>
      <c r="E19" s="49">
        <f t="shared" si="4"/>
        <v>7263230.1299999999</v>
      </c>
      <c r="F19" s="49">
        <f t="shared" si="4"/>
        <v>505240</v>
      </c>
      <c r="G19" s="49">
        <f>SUM(G4:G18)</f>
        <v>421075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53">
        <f>SUM(F19:Q19)</f>
        <v>926315</v>
      </c>
    </row>
    <row r="24" spans="1:19" x14ac:dyDescent="0.25">
      <c r="B24" t="s">
        <v>407</v>
      </c>
      <c r="C24" t="s">
        <v>408</v>
      </c>
      <c r="D24" t="s">
        <v>409</v>
      </c>
      <c r="E24" t="s">
        <v>420</v>
      </c>
    </row>
    <row r="25" spans="1:19" x14ac:dyDescent="0.25">
      <c r="A25" t="s">
        <v>52</v>
      </c>
      <c r="B25" s="50">
        <f>R3/1000000</f>
        <v>0.135215</v>
      </c>
      <c r="C25">
        <v>0</v>
      </c>
      <c r="D25">
        <v>0</v>
      </c>
      <c r="E25">
        <v>0</v>
      </c>
    </row>
    <row r="26" spans="1:19" x14ac:dyDescent="0.25">
      <c r="A26" t="s">
        <v>26</v>
      </c>
      <c r="B26">
        <v>0</v>
      </c>
      <c r="C26" s="50">
        <f>(F10+G10)/1000000</f>
        <v>2.97E-3</v>
      </c>
      <c r="D26">
        <v>0</v>
      </c>
      <c r="E26">
        <v>0</v>
      </c>
    </row>
    <row r="27" spans="1:19" x14ac:dyDescent="0.25">
      <c r="A27" t="s">
        <v>9</v>
      </c>
      <c r="B27">
        <v>0</v>
      </c>
      <c r="C27" s="50">
        <f>(F9+G9)/1000000</f>
        <v>0.26334999999999997</v>
      </c>
      <c r="D27">
        <v>0</v>
      </c>
      <c r="E27">
        <v>0</v>
      </c>
    </row>
  </sheetData>
  <mergeCells count="6">
    <mergeCell ref="F1:Q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RIHES</vt:lpstr>
      <vt:lpstr>IDSU</vt:lpstr>
      <vt:lpstr>CMBID</vt:lpstr>
      <vt:lpstr>NINE</vt:lpstr>
      <vt:lpstr>เป้าหมาย</vt:lpstr>
      <vt:lpstr>นักวิจัย</vt:lpstr>
      <vt:lpstr>ผลงานตีพิมพ์</vt:lpstr>
      <vt:lpstr>ทุนวิจัย</vt:lpstr>
      <vt:lpstr>รายได้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Kongsak Boonyapranai</dc:creator>
  <cp:lastModifiedBy>oranuch moolchaisri</cp:lastModifiedBy>
  <dcterms:created xsi:type="dcterms:W3CDTF">2023-03-07T15:18:03Z</dcterms:created>
  <dcterms:modified xsi:type="dcterms:W3CDTF">2023-04-04T07:23:50Z</dcterms:modified>
</cp:coreProperties>
</file>